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erejny\Štefek\02.061 Jez Brantice, OHO - DPS+soupis\Příloha č. 2 - Soupis stavebních prací, dodávek a služeb s výkazem výměr\III_2_Vykaz_vymer\"/>
    </mc:Choice>
  </mc:AlternateContent>
  <bookViews>
    <workbookView xWindow="-120" yWindow="-120" windowWidth="29040" windowHeight="18240"/>
  </bookViews>
  <sheets>
    <sheet name="SO_05_Rekapitulace" sheetId="1" r:id="rId1"/>
    <sheet name="SO_05_KL1_zemní práce" sheetId="2" r:id="rId2"/>
    <sheet name="SO05_KL 2_konstrukce" sheetId="5" r:id="rId3"/>
    <sheet name="SO05_KL3_výrobky" sheetId="8" r:id="rId4"/>
  </sheets>
  <definedNames>
    <definedName name="_xlnm.Print_Titles" localSheetId="0">SO_05_Rekapitulace!$9:$9</definedName>
    <definedName name="_xlnm.Print_Area" localSheetId="1">'SO_05_KL1_zemní práce'!$B$1:$M$913</definedName>
    <definedName name="_xlnm.Print_Area" localSheetId="0">SO_05_Rekapitulace!$A$1:$D$142</definedName>
    <definedName name="_xlnm.Print_Area" localSheetId="2">'SO05_KL 2_konstrukce'!$C$1:$I$249</definedName>
    <definedName name="_xlnm.Print_Area" localSheetId="3">SO05_KL3_výrobky!$A$1:$K$120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1" i="5" l="1"/>
  <c r="G212" i="5" s="1"/>
  <c r="G213" i="5" s="1"/>
  <c r="G215" i="5" s="1"/>
  <c r="D126" i="1" s="1"/>
  <c r="G183" i="5"/>
  <c r="G188" i="5"/>
  <c r="G192" i="5"/>
  <c r="F562" i="2" l="1"/>
  <c r="F566" i="2"/>
  <c r="F568" i="2" l="1"/>
  <c r="D67" i="1" s="1"/>
  <c r="G97" i="5"/>
  <c r="G209" i="5" l="1"/>
  <c r="G181" i="5"/>
  <c r="G205" i="5"/>
  <c r="G200" i="5"/>
  <c r="E805" i="2"/>
  <c r="G798" i="2"/>
  <c r="E806" i="2" s="1"/>
  <c r="E807" i="2" s="1"/>
  <c r="D78" i="1" s="1"/>
  <c r="F796" i="2"/>
  <c r="F795" i="2"/>
  <c r="G194" i="5"/>
  <c r="F797" i="2" l="1"/>
  <c r="E802" i="2" s="1"/>
  <c r="I717" i="2" l="1"/>
  <c r="G716" i="2"/>
  <c r="G712" i="2"/>
  <c r="J706" i="2"/>
  <c r="E703" i="2"/>
  <c r="G705" i="2" s="1"/>
  <c r="I695" i="2"/>
  <c r="F695" i="2"/>
  <c r="D695" i="2"/>
  <c r="I693" i="2"/>
  <c r="F693" i="2"/>
  <c r="D693" i="2"/>
  <c r="I691" i="2"/>
  <c r="F691" i="2"/>
  <c r="D691" i="2"/>
  <c r="I689" i="2"/>
  <c r="F689" i="2"/>
  <c r="D689" i="2"/>
  <c r="I687" i="2"/>
  <c r="F687" i="2"/>
  <c r="D687" i="2"/>
  <c r="I685" i="2"/>
  <c r="F685" i="2"/>
  <c r="D685" i="2"/>
  <c r="I683" i="2"/>
  <c r="F683" i="2"/>
  <c r="D683" i="2"/>
  <c r="I680" i="2"/>
  <c r="F680" i="2"/>
  <c r="D680" i="2"/>
  <c r="J669" i="2"/>
  <c r="G667" i="2"/>
  <c r="G659" i="2"/>
  <c r="I650" i="2"/>
  <c r="F650" i="2"/>
  <c r="D650" i="2"/>
  <c r="I648" i="2"/>
  <c r="F648" i="2"/>
  <c r="D648" i="2"/>
  <c r="I646" i="2"/>
  <c r="F646" i="2"/>
  <c r="D646" i="2"/>
  <c r="I644" i="2"/>
  <c r="F644" i="2"/>
  <c r="D644" i="2"/>
  <c r="I642" i="2"/>
  <c r="F642" i="2"/>
  <c r="D642" i="2"/>
  <c r="I640" i="2"/>
  <c r="F640" i="2"/>
  <c r="D640" i="2"/>
  <c r="I638" i="2"/>
  <c r="F638" i="2"/>
  <c r="D638" i="2"/>
  <c r="I635" i="2"/>
  <c r="F635" i="2"/>
  <c r="D635" i="2"/>
  <c r="G623" i="2"/>
  <c r="G618" i="2"/>
  <c r="G611" i="2"/>
  <c r="G606" i="2"/>
  <c r="G601" i="2"/>
  <c r="G595" i="2"/>
  <c r="G590" i="2"/>
  <c r="E583" i="2"/>
  <c r="G584" i="2" s="1"/>
  <c r="E576" i="2"/>
  <c r="G577" i="2" s="1"/>
  <c r="G749" i="2"/>
  <c r="G763" i="2"/>
  <c r="H736" i="2"/>
  <c r="G783" i="2"/>
  <c r="G834" i="2"/>
  <c r="F827" i="2"/>
  <c r="F825" i="2"/>
  <c r="H418" i="2"/>
  <c r="E383" i="2"/>
  <c r="G385" i="2" s="1"/>
  <c r="E379" i="2"/>
  <c r="G381" i="2" s="1"/>
  <c r="G233" i="5"/>
  <c r="F423" i="2"/>
  <c r="F425" i="2" s="1"/>
  <c r="F427" i="2"/>
  <c r="G683" i="2" l="1"/>
  <c r="J693" i="2"/>
  <c r="J687" i="2"/>
  <c r="G695" i="2"/>
  <c r="J642" i="2"/>
  <c r="J685" i="2"/>
  <c r="G650" i="2"/>
  <c r="J695" i="2"/>
  <c r="G691" i="2"/>
  <c r="G687" i="2"/>
  <c r="J680" i="2"/>
  <c r="G693" i="2"/>
  <c r="J683" i="2"/>
  <c r="G689" i="2"/>
  <c r="J689" i="2"/>
  <c r="J691" i="2"/>
  <c r="G638" i="2"/>
  <c r="G648" i="2"/>
  <c r="G685" i="2"/>
  <c r="J638" i="2"/>
  <c r="J648" i="2"/>
  <c r="G680" i="2"/>
  <c r="G640" i="2"/>
  <c r="G625" i="2"/>
  <c r="D68" i="1" s="1"/>
  <c r="J644" i="2"/>
  <c r="G635" i="2"/>
  <c r="G646" i="2"/>
  <c r="J635" i="2"/>
  <c r="J646" i="2"/>
  <c r="J650" i="2"/>
  <c r="G644" i="2"/>
  <c r="J640" i="2"/>
  <c r="G642" i="2"/>
  <c r="G428" i="2"/>
  <c r="D59" i="1" s="1"/>
  <c r="G386" i="2"/>
  <c r="H235" i="5"/>
  <c r="D133" i="1" s="1"/>
  <c r="G223" i="5"/>
  <c r="G222" i="5"/>
  <c r="G224" i="5" l="1"/>
  <c r="D129" i="1" s="1"/>
  <c r="J698" i="2"/>
  <c r="J719" i="2" s="1"/>
  <c r="J723" i="2" s="1"/>
  <c r="G653" i="2"/>
  <c r="G670" i="2" s="1"/>
  <c r="G722" i="2" s="1"/>
  <c r="G698" i="2"/>
  <c r="G719" i="2" s="1"/>
  <c r="G723" i="2" s="1"/>
  <c r="J653" i="2"/>
  <c r="J670" i="2" s="1"/>
  <c r="J722" i="2" s="1"/>
  <c r="D57" i="1"/>
  <c r="H409" i="2"/>
  <c r="H243" i="5"/>
  <c r="E238" i="5"/>
  <c r="G724" i="2" l="1"/>
  <c r="D69" i="1" s="1"/>
  <c r="E247" i="5"/>
  <c r="G239" i="5"/>
  <c r="H241" i="5" s="1"/>
  <c r="J724" i="2"/>
  <c r="D70" i="1" s="1"/>
  <c r="H223" i="5"/>
  <c r="H227" i="5"/>
  <c r="D131" i="1" s="1"/>
  <c r="H222" i="5" l="1"/>
  <c r="H224" i="5" s="1"/>
  <c r="E148" i="5"/>
  <c r="H149" i="5" s="1"/>
  <c r="H155" i="5"/>
  <c r="H138" i="5"/>
  <c r="G119" i="5"/>
  <c r="D130" i="1" l="1"/>
  <c r="E248" i="5"/>
  <c r="D137" i="1"/>
  <c r="G126" i="5"/>
  <c r="G122" i="5"/>
  <c r="G90" i="5"/>
  <c r="G85" i="5"/>
  <c r="G81" i="5"/>
  <c r="G76" i="5"/>
  <c r="G71" i="5"/>
  <c r="G45" i="5"/>
  <c r="G32" i="5"/>
  <c r="G27" i="5"/>
  <c r="G16" i="5"/>
  <c r="G557" i="2"/>
  <c r="G546" i="2"/>
  <c r="F535" i="2"/>
  <c r="G498" i="2"/>
  <c r="E500" i="2"/>
  <c r="G503" i="2" s="1"/>
  <c r="E393" i="2"/>
  <c r="H394" i="2" s="1"/>
  <c r="F413" i="2"/>
  <c r="H407" i="2"/>
  <c r="G368" i="2"/>
  <c r="G363" i="2"/>
  <c r="F534" i="2" l="1"/>
  <c r="E238" i="2"/>
  <c r="F238" i="2" s="1"/>
  <c r="G238" i="2" s="1"/>
  <c r="F229" i="2"/>
  <c r="F412" i="2" s="1"/>
  <c r="H414" i="2" s="1"/>
  <c r="F227" i="2"/>
  <c r="F221" i="2"/>
  <c r="E49" i="2"/>
  <c r="I51" i="2" s="1"/>
  <c r="H850" i="2"/>
  <c r="H851" i="2"/>
  <c r="H846" i="2"/>
  <c r="H847" i="2" s="1"/>
  <c r="D89" i="1" s="1"/>
  <c r="H841" i="2"/>
  <c r="E874" i="2"/>
  <c r="H904" i="2"/>
  <c r="H899" i="2"/>
  <c r="H906" i="2" l="1"/>
  <c r="D101" i="1" s="1"/>
  <c r="F230" i="2"/>
  <c r="D55" i="1" s="1"/>
  <c r="H852" i="2"/>
  <c r="D91" i="1" s="1"/>
  <c r="H848" i="2"/>
  <c r="D90" i="1" s="1"/>
  <c r="F151" i="2" l="1"/>
  <c r="F147" i="2" l="1"/>
  <c r="F153" i="2" s="1"/>
  <c r="G137" i="2" s="1"/>
  <c r="D113" i="2"/>
  <c r="D109" i="2"/>
  <c r="D100" i="2"/>
  <c r="E119" i="8" l="1"/>
  <c r="E118" i="8"/>
  <c r="E120" i="8" s="1"/>
  <c r="F112" i="8"/>
  <c r="E110" i="8"/>
  <c r="E109" i="8"/>
  <c r="E108" i="8"/>
  <c r="F93" i="8"/>
  <c r="F86" i="8"/>
  <c r="C80" i="8"/>
  <c r="E96" i="8"/>
  <c r="E99" i="8"/>
  <c r="H64" i="8"/>
  <c r="I56" i="8"/>
  <c r="I57" i="8"/>
  <c r="G54" i="8"/>
  <c r="I55" i="8"/>
  <c r="I52" i="8"/>
  <c r="F49" i="8"/>
  <c r="F46" i="8"/>
  <c r="D37" i="8"/>
  <c r="J23" i="8" l="1"/>
  <c r="H244" i="5" l="1"/>
  <c r="K71" i="2"/>
  <c r="J71" i="2"/>
  <c r="I71" i="2"/>
  <c r="E71" i="2"/>
  <c r="D29" i="1" l="1"/>
  <c r="G78" i="2"/>
  <c r="G77" i="2"/>
  <c r="G79" i="2"/>
  <c r="D44" i="1" s="1"/>
  <c r="L71" i="2"/>
  <c r="D38" i="1" s="1"/>
  <c r="D37" i="1"/>
  <c r="D36" i="1"/>
  <c r="D35" i="1"/>
  <c r="H71" i="2"/>
  <c r="D32" i="1" s="1"/>
  <c r="G71" i="2"/>
  <c r="D31" i="1" s="1"/>
  <c r="F71" i="2"/>
  <c r="D30" i="1" l="1"/>
  <c r="F821" i="2"/>
  <c r="G128" i="5"/>
  <c r="G107" i="5"/>
  <c r="F828" i="2" l="1"/>
  <c r="F829" i="2" s="1"/>
  <c r="D81" i="1"/>
  <c r="I19" i="2"/>
  <c r="I15" i="2"/>
  <c r="I20" i="2" l="1"/>
  <c r="G62" i="8"/>
  <c r="G67" i="8" s="1"/>
  <c r="J26" i="8"/>
  <c r="H27" i="8"/>
  <c r="G27" i="8"/>
  <c r="G25" i="8"/>
  <c r="J27" i="8" l="1"/>
  <c r="J25" i="8"/>
  <c r="G835" i="2" l="1"/>
  <c r="D82" i="1" l="1"/>
  <c r="D80" i="1"/>
  <c r="D83" i="1"/>
  <c r="H890" i="2"/>
  <c r="G880" i="2"/>
  <c r="E880" i="2"/>
  <c r="G878" i="2"/>
  <c r="E878" i="2"/>
  <c r="G876" i="2"/>
  <c r="E876" i="2"/>
  <c r="G874" i="2"/>
  <c r="G871" i="2"/>
  <c r="E871" i="2"/>
  <c r="D94" i="1"/>
  <c r="G861" i="2"/>
  <c r="D97" i="1" s="1"/>
  <c r="G860" i="2"/>
  <c r="D96" i="1" s="1"/>
  <c r="H842" i="2"/>
  <c r="D87" i="1" s="1"/>
  <c r="H880" i="2" l="1"/>
  <c r="H871" i="2"/>
  <c r="H843" i="2"/>
  <c r="D88" i="1" s="1"/>
  <c r="H874" i="2"/>
  <c r="H876" i="2"/>
  <c r="H878" i="2"/>
  <c r="H884" i="2" l="1"/>
  <c r="H892" i="2" s="1"/>
  <c r="D100" i="1" s="1"/>
  <c r="L89" i="2"/>
  <c r="D49" i="1" s="1"/>
  <c r="K89" i="2"/>
  <c r="D48" i="1" s="1"/>
  <c r="J89" i="2"/>
  <c r="D47" i="1" s="1"/>
  <c r="G39" i="2" l="1"/>
  <c r="G38" i="2"/>
  <c r="G37" i="2"/>
  <c r="I28" i="2"/>
  <c r="G40" i="2" l="1"/>
  <c r="D15" i="1" s="1"/>
  <c r="F811" i="2"/>
  <c r="F813" i="2" s="1"/>
  <c r="F815" i="2" s="1"/>
  <c r="D79" i="1" s="1"/>
  <c r="F789" i="2"/>
  <c r="D76" i="1"/>
  <c r="F776" i="2"/>
  <c r="D778" i="2"/>
  <c r="D775" i="2"/>
  <c r="H742" i="2"/>
  <c r="H743" i="2" s="1"/>
  <c r="G758" i="2"/>
  <c r="E801" i="2" l="1"/>
  <c r="E803" i="2" s="1"/>
  <c r="D77" i="1" s="1"/>
  <c r="D72" i="1"/>
  <c r="G778" i="2"/>
  <c r="G776" i="2"/>
  <c r="G753" i="2"/>
  <c r="G765" i="2" l="1"/>
  <c r="D73" i="1" s="1"/>
  <c r="G782" i="2"/>
  <c r="D75" i="1" s="1"/>
  <c r="D134" i="1" l="1"/>
  <c r="D135" i="1"/>
  <c r="H168" i="5" l="1"/>
  <c r="D120" i="1" s="1"/>
  <c r="H160" i="5"/>
  <c r="H162" i="5"/>
  <c r="H158" i="5"/>
  <c r="H157" i="5"/>
  <c r="H143" i="5"/>
  <c r="G113" i="5"/>
  <c r="D116" i="1" s="1"/>
  <c r="H134" i="5"/>
  <c r="D115" i="1"/>
  <c r="G41" i="5"/>
  <c r="H163" i="5" l="1"/>
  <c r="D118" i="1" s="1"/>
  <c r="D117" i="1"/>
  <c r="G65" i="5"/>
  <c r="G60" i="5"/>
  <c r="G55" i="5"/>
  <c r="G50" i="5"/>
  <c r="G21" i="5"/>
  <c r="G34" i="5" s="1"/>
  <c r="D110" i="1" s="1"/>
  <c r="G100" i="5" l="1"/>
  <c r="G171" i="5" s="1"/>
  <c r="D21" i="1"/>
  <c r="D18" i="1"/>
  <c r="G556" i="2"/>
  <c r="G558" i="2" s="1"/>
  <c r="D66" i="1" s="1"/>
  <c r="D64" i="1"/>
  <c r="F528" i="2"/>
  <c r="D528" i="2"/>
  <c r="F526" i="2"/>
  <c r="D526" i="2"/>
  <c r="F524" i="2"/>
  <c r="D524" i="2"/>
  <c r="F522" i="2"/>
  <c r="D522" i="2"/>
  <c r="F520" i="2"/>
  <c r="D520" i="2"/>
  <c r="F518" i="2"/>
  <c r="D518" i="2"/>
  <c r="F515" i="2"/>
  <c r="D515" i="2"/>
  <c r="F480" i="2"/>
  <c r="F478" i="2"/>
  <c r="F476" i="2"/>
  <c r="E483" i="2"/>
  <c r="F482" i="2" s="1"/>
  <c r="E468" i="2"/>
  <c r="F469" i="2" s="1"/>
  <c r="E466" i="2"/>
  <c r="E472" i="2"/>
  <c r="F471" i="2" s="1"/>
  <c r="E458" i="2"/>
  <c r="F459" i="2" s="1"/>
  <c r="F461" i="2"/>
  <c r="F463" i="2"/>
  <c r="D461" i="2"/>
  <c r="D457" i="2"/>
  <c r="D454" i="2"/>
  <c r="D467" i="2"/>
  <c r="D469" i="2"/>
  <c r="D471" i="2"/>
  <c r="D463" i="2"/>
  <c r="D459" i="2"/>
  <c r="D465" i="2"/>
  <c r="E454" i="2"/>
  <c r="F454" i="2" s="1"/>
  <c r="D482" i="2"/>
  <c r="D480" i="2"/>
  <c r="D478" i="2"/>
  <c r="D476" i="2"/>
  <c r="H444" i="2"/>
  <c r="H440" i="2"/>
  <c r="H402" i="2"/>
  <c r="E341" i="2"/>
  <c r="F341" i="2" s="1"/>
  <c r="F354" i="2"/>
  <c r="D354" i="2"/>
  <c r="F352" i="2"/>
  <c r="D352" i="2"/>
  <c r="F350" i="2"/>
  <c r="D350" i="2"/>
  <c r="F348" i="2"/>
  <c r="D348" i="2"/>
  <c r="F346" i="2"/>
  <c r="D346" i="2"/>
  <c r="F344" i="2"/>
  <c r="D344" i="2"/>
  <c r="D341" i="2"/>
  <c r="G331" i="2"/>
  <c r="G327" i="2"/>
  <c r="G320" i="2"/>
  <c r="G316" i="2"/>
  <c r="F310" i="2"/>
  <c r="F309" i="2"/>
  <c r="G261" i="2"/>
  <c r="E396" i="2" s="1"/>
  <c r="E170" i="2"/>
  <c r="F170" i="2" s="1"/>
  <c r="F183" i="2"/>
  <c r="D183" i="2"/>
  <c r="F181" i="2"/>
  <c r="D181" i="2"/>
  <c r="F179" i="2"/>
  <c r="D179" i="2"/>
  <c r="F177" i="2"/>
  <c r="D177" i="2"/>
  <c r="F175" i="2"/>
  <c r="D175" i="2"/>
  <c r="F173" i="2"/>
  <c r="D173" i="2"/>
  <c r="D170" i="2"/>
  <c r="D111" i="1" l="1"/>
  <c r="H398" i="2"/>
  <c r="H419" i="2" s="1"/>
  <c r="G476" i="2"/>
  <c r="G522" i="2"/>
  <c r="D530" i="2"/>
  <c r="G520" i="2"/>
  <c r="G528" i="2"/>
  <c r="G515" i="2"/>
  <c r="G524" i="2"/>
  <c r="G518" i="2"/>
  <c r="G526" i="2"/>
  <c r="F457" i="2"/>
  <c r="G457" i="2" s="1"/>
  <c r="G469" i="2"/>
  <c r="G461" i="2"/>
  <c r="G459" i="2"/>
  <c r="G471" i="2"/>
  <c r="G454" i="2"/>
  <c r="G463" i="2"/>
  <c r="G311" i="2"/>
  <c r="G730" i="2" s="1"/>
  <c r="F465" i="2"/>
  <c r="G465" i="2" s="1"/>
  <c r="G467" i="2"/>
  <c r="G480" i="2"/>
  <c r="G482" i="2"/>
  <c r="G478" i="2"/>
  <c r="G344" i="2"/>
  <c r="G352" i="2"/>
  <c r="G350" i="2"/>
  <c r="G341" i="2"/>
  <c r="G348" i="2"/>
  <c r="D356" i="2"/>
  <c r="G346" i="2"/>
  <c r="G354" i="2"/>
  <c r="D185" i="2"/>
  <c r="G183" i="2"/>
  <c r="G177" i="2"/>
  <c r="G179" i="2"/>
  <c r="G175" i="2"/>
  <c r="G170" i="2"/>
  <c r="G173" i="2"/>
  <c r="G181" i="2"/>
  <c r="F160" i="2"/>
  <c r="H435" i="2"/>
  <c r="K133" i="2"/>
  <c r="H133" i="2"/>
  <c r="E286" i="2"/>
  <c r="F285" i="2" s="1"/>
  <c r="D283" i="2"/>
  <c r="D270" i="2"/>
  <c r="F245" i="2"/>
  <c r="G245" i="2" s="1"/>
  <c r="D254" i="2"/>
  <c r="E252" i="2"/>
  <c r="F251" i="2" s="1"/>
  <c r="G251" i="2" s="1"/>
  <c r="F249" i="2"/>
  <c r="G249" i="2" s="1"/>
  <c r="F247" i="2"/>
  <c r="G247" i="2" s="1"/>
  <c r="F243" i="2"/>
  <c r="G243" i="2" s="1"/>
  <c r="F241" i="2"/>
  <c r="G241" i="2" s="1"/>
  <c r="F204" i="2"/>
  <c r="G204" i="2" s="1"/>
  <c r="D213" i="2"/>
  <c r="F202" i="2"/>
  <c r="G202" i="2" s="1"/>
  <c r="F206" i="2"/>
  <c r="G206" i="2" s="1"/>
  <c r="F302" i="2"/>
  <c r="D302" i="2"/>
  <c r="F300" i="2"/>
  <c r="D300" i="2"/>
  <c r="F298" i="2"/>
  <c r="D298" i="2"/>
  <c r="F296" i="2"/>
  <c r="D296" i="2"/>
  <c r="F294" i="2"/>
  <c r="D294" i="2"/>
  <c r="F292" i="2"/>
  <c r="D292" i="2"/>
  <c r="E289" i="2"/>
  <c r="F289" i="2" s="1"/>
  <c r="D289" i="2"/>
  <c r="D285" i="2"/>
  <c r="F283" i="2"/>
  <c r="F281" i="2"/>
  <c r="D281" i="2"/>
  <c r="F279" i="2"/>
  <c r="D279" i="2"/>
  <c r="F277" i="2"/>
  <c r="D277" i="2"/>
  <c r="F275" i="2"/>
  <c r="D275" i="2"/>
  <c r="F273" i="2"/>
  <c r="D273" i="2"/>
  <c r="E270" i="2"/>
  <c r="F270" i="2" s="1"/>
  <c r="E197" i="2"/>
  <c r="F197" i="2" s="1"/>
  <c r="G197" i="2" s="1"/>
  <c r="F200" i="2"/>
  <c r="G200" i="2" s="1"/>
  <c r="F208" i="2"/>
  <c r="G208" i="2" s="1"/>
  <c r="F210" i="2"/>
  <c r="G210" i="2" s="1"/>
  <c r="D119" i="2"/>
  <c r="H445" i="2" l="1"/>
  <c r="D60" i="1" s="1"/>
  <c r="G213" i="2"/>
  <c r="D54" i="1" s="1"/>
  <c r="G300" i="2"/>
  <c r="G270" i="2"/>
  <c r="G273" i="2"/>
  <c r="G283" i="2"/>
  <c r="G298" i="2"/>
  <c r="D58" i="1"/>
  <c r="J138" i="2"/>
  <c r="D71" i="1"/>
  <c r="G173" i="5"/>
  <c r="D124" i="1" s="1"/>
  <c r="G174" i="5"/>
  <c r="D125" i="1" s="1"/>
  <c r="G531" i="2"/>
  <c r="F536" i="2" s="1"/>
  <c r="F537" i="2" s="1"/>
  <c r="G549" i="2" s="1"/>
  <c r="G485" i="2"/>
  <c r="D62" i="1" s="1"/>
  <c r="G357" i="2"/>
  <c r="G186" i="2"/>
  <c r="G254" i="2"/>
  <c r="G262" i="2" s="1"/>
  <c r="G275" i="2"/>
  <c r="G296" i="2"/>
  <c r="G292" i="2"/>
  <c r="G294" i="2"/>
  <c r="G289" i="2"/>
  <c r="G285" i="2"/>
  <c r="G281" i="2"/>
  <c r="G279" i="2"/>
  <c r="G302" i="2"/>
  <c r="G277" i="2"/>
  <c r="K116" i="2"/>
  <c r="L115" i="2" s="1"/>
  <c r="L132" i="2"/>
  <c r="L119" i="2"/>
  <c r="I113" i="2"/>
  <c r="J113" i="2" s="1"/>
  <c r="I111" i="2"/>
  <c r="I109" i="2"/>
  <c r="I105" i="2"/>
  <c r="I103" i="2"/>
  <c r="I107" i="2"/>
  <c r="I124" i="2"/>
  <c r="I122" i="2"/>
  <c r="I130" i="2"/>
  <c r="I128" i="2"/>
  <c r="I126" i="2"/>
  <c r="F130" i="2"/>
  <c r="D132" i="2"/>
  <c r="D130" i="2"/>
  <c r="D128" i="2"/>
  <c r="D126" i="2"/>
  <c r="D124" i="2"/>
  <c r="D122" i="2"/>
  <c r="I132" i="2"/>
  <c r="L122" i="2"/>
  <c r="L124" i="2"/>
  <c r="L126" i="2"/>
  <c r="L128" i="2"/>
  <c r="L130" i="2"/>
  <c r="L105" i="2"/>
  <c r="L107" i="2"/>
  <c r="L109" i="2"/>
  <c r="L111" i="2"/>
  <c r="L113" i="2"/>
  <c r="I119" i="2"/>
  <c r="F107" i="2"/>
  <c r="G369" i="2" l="1"/>
  <c r="G374" i="2" s="1"/>
  <c r="G305" i="2"/>
  <c r="G332" i="2" s="1"/>
  <c r="J139" i="2"/>
  <c r="G372" i="2"/>
  <c r="D65" i="1"/>
  <c r="G492" i="2"/>
  <c r="D61" i="1" s="1"/>
  <c r="F540" i="2"/>
  <c r="D63" i="1" s="1"/>
  <c r="M128" i="2"/>
  <c r="J126" i="2"/>
  <c r="J132" i="2"/>
  <c r="M130" i="2"/>
  <c r="J128" i="2"/>
  <c r="J130" i="2"/>
  <c r="M132" i="2"/>
  <c r="J122" i="2"/>
  <c r="J124" i="2"/>
  <c r="J119" i="2"/>
  <c r="M126" i="2"/>
  <c r="M124" i="2"/>
  <c r="M122" i="2"/>
  <c r="G130" i="2"/>
  <c r="M119" i="2"/>
  <c r="F109" i="2"/>
  <c r="G109" i="2" s="1"/>
  <c r="H100" i="2"/>
  <c r="I100" i="2" s="1"/>
  <c r="J100" i="2" s="1"/>
  <c r="H116" i="2"/>
  <c r="I115" i="2" s="1"/>
  <c r="E133" i="2"/>
  <c r="F132" i="2" s="1"/>
  <c r="D103" i="2"/>
  <c r="J103" i="2" s="1"/>
  <c r="E100" i="2"/>
  <c r="F100" i="2" s="1"/>
  <c r="G100" i="2" s="1"/>
  <c r="G373" i="2" l="1"/>
  <c r="G375" i="2" l="1"/>
  <c r="D56" i="1" s="1"/>
  <c r="I45" i="2"/>
  <c r="D17" i="1" s="1"/>
  <c r="F128" i="2" l="1"/>
  <c r="G128" i="2" s="1"/>
  <c r="F126" i="2"/>
  <c r="G126" i="2" s="1"/>
  <c r="F124" i="2"/>
  <c r="G124" i="2" s="1"/>
  <c r="G122" i="2"/>
  <c r="G119" i="2"/>
  <c r="D111" i="2"/>
  <c r="J111" i="2" s="1"/>
  <c r="D115" i="2"/>
  <c r="J115" i="2" s="1"/>
  <c r="D105" i="2"/>
  <c r="D107" i="2"/>
  <c r="J109" i="2"/>
  <c r="F115" i="2"/>
  <c r="F113" i="2"/>
  <c r="F111" i="2"/>
  <c r="I26" i="2"/>
  <c r="D14" i="1" s="1"/>
  <c r="J105" i="2" l="1"/>
  <c r="M105" i="2"/>
  <c r="G115" i="2"/>
  <c r="G107" i="2"/>
  <c r="J107" i="2"/>
  <c r="M107" i="2"/>
  <c r="D12" i="1"/>
  <c r="M113" i="2"/>
  <c r="M115" i="2"/>
  <c r="G105" i="2"/>
  <c r="M111" i="2"/>
  <c r="M109" i="2"/>
  <c r="G132" i="2"/>
  <c r="G111" i="2"/>
  <c r="G113" i="2"/>
  <c r="L103" i="2" l="1"/>
  <c r="M103" i="2" s="1"/>
  <c r="L100" i="2"/>
  <c r="F103" i="2" l="1"/>
  <c r="G103" i="2" s="1"/>
  <c r="J135" i="2" l="1"/>
  <c r="M100" i="2"/>
  <c r="J140" i="2" l="1"/>
  <c r="D52" i="1" s="1"/>
  <c r="M135" i="2"/>
  <c r="D53" i="1" s="1"/>
  <c r="G135" i="2"/>
  <c r="G140" i="2" s="1"/>
  <c r="D51" i="1" s="1"/>
</calcChain>
</file>

<file path=xl/sharedStrings.xml><?xml version="1.0" encoding="utf-8"?>
<sst xmlns="http://schemas.openxmlformats.org/spreadsheetml/2006/main" count="2107" uniqueCount="792">
  <si>
    <t>Objednavatel : Povodí Odry, s.p.</t>
  </si>
  <si>
    <t>Zhotovitel : AQUATIS a.s.</t>
  </si>
  <si>
    <t>Položka</t>
  </si>
  <si>
    <t>Popis položky</t>
  </si>
  <si>
    <t>Jednotka</t>
  </si>
  <si>
    <t>Zemní práce</t>
  </si>
  <si>
    <t>Svahování násypů</t>
  </si>
  <si>
    <t>m</t>
  </si>
  <si>
    <t>km</t>
  </si>
  <si>
    <t>Ozn.</t>
  </si>
  <si>
    <t>Staničení</t>
  </si>
  <si>
    <t>Vzdálenost profilů / řezů</t>
  </si>
  <si>
    <t>Příčný profil / řez</t>
  </si>
  <si>
    <t>JEDNOTL.</t>
  </si>
  <si>
    <t>PRŮMĚR</t>
  </si>
  <si>
    <t>MNOŽSTVÍ</t>
  </si>
  <si>
    <t>Množství DPS</t>
  </si>
  <si>
    <t>dílčí stavba 02.061 Jez Brantice, stavba č. 5882.</t>
  </si>
  <si>
    <t>SO 05 Úprava koryta</t>
  </si>
  <si>
    <t xml:space="preserve">02.060 Opatření v úseku Brantice, OHO, </t>
  </si>
  <si>
    <t>1.1</t>
  </si>
  <si>
    <t>Plocha v řezu</t>
  </si>
  <si>
    <t>Objem</t>
  </si>
  <si>
    <t>m2</t>
  </si>
  <si>
    <t>m3</t>
  </si>
  <si>
    <t>LB zeď nad jezem</t>
  </si>
  <si>
    <t>Délka</t>
  </si>
  <si>
    <t>Vyústění kanalizačních potrubí dn 300  a 400 LB</t>
  </si>
  <si>
    <t>Bourání objektů</t>
  </si>
  <si>
    <t>Přístřešek na pravém břehu</t>
  </si>
  <si>
    <t>Výška</t>
  </si>
  <si>
    <t>Plocha</t>
  </si>
  <si>
    <t>Tl.</t>
  </si>
  <si>
    <t>Potrubí DN 300 a DN400</t>
  </si>
  <si>
    <t>SO 05 v podjezí</t>
  </si>
  <si>
    <t>ZÚ</t>
  </si>
  <si>
    <t>PF05/1</t>
  </si>
  <si>
    <t>PF05/2</t>
  </si>
  <si>
    <t>PF05/3</t>
  </si>
  <si>
    <t>PF05/4</t>
  </si>
  <si>
    <t>ks</t>
  </si>
  <si>
    <t>stav most</t>
  </si>
  <si>
    <t>PF 05/5</t>
  </si>
  <si>
    <t>KÚ</t>
  </si>
  <si>
    <t>SO 05 v nadjezí</t>
  </si>
  <si>
    <t>PF05/6</t>
  </si>
  <si>
    <t>PF05/7</t>
  </si>
  <si>
    <t>PF05/8</t>
  </si>
  <si>
    <t>PF05/9</t>
  </si>
  <si>
    <t>PF05/10</t>
  </si>
  <si>
    <t>PF05/11</t>
  </si>
  <si>
    <t>Rozebrání kamenného záhozu a patky</t>
  </si>
  <si>
    <t>Skrývka svrchní vrstvy         tl.200 mm</t>
  </si>
  <si>
    <t>Odkopávka dnového materiálu      tl 300 mm</t>
  </si>
  <si>
    <t>1.7</t>
  </si>
  <si>
    <t>Bourání kanalizace</t>
  </si>
  <si>
    <t xml:space="preserve"> Ocelové zábradlí  LB zdí výšky 1,1</t>
  </si>
  <si>
    <t>LB pod jezem</t>
  </si>
  <si>
    <t>PB</t>
  </si>
  <si>
    <t>Celkem</t>
  </si>
  <si>
    <t>31+15+6</t>
  </si>
  <si>
    <t>Bourání stávající asfaltové cesty za levobřežní zdí</t>
  </si>
  <si>
    <t>1.2</t>
  </si>
  <si>
    <t>kg</t>
  </si>
  <si>
    <t>Ocelové konstrukce rozepření</t>
  </si>
  <si>
    <t>Bourací práce</t>
  </si>
  <si>
    <t>1.3</t>
  </si>
  <si>
    <t>1.4</t>
  </si>
  <si>
    <t>1.5</t>
  </si>
  <si>
    <t>1.6</t>
  </si>
  <si>
    <t>2</t>
  </si>
  <si>
    <t>2.1</t>
  </si>
  <si>
    <t>2.2</t>
  </si>
  <si>
    <t>Položka č. 2.3</t>
  </si>
  <si>
    <t>Položka č. 2.4</t>
  </si>
  <si>
    <t>Položka č. 2.5</t>
  </si>
  <si>
    <t>Výkop v pažené jámě</t>
  </si>
  <si>
    <t>Položka č. 2.6</t>
  </si>
  <si>
    <t>Levobřežní zeď</t>
  </si>
  <si>
    <t>Tabulka 2</t>
  </si>
  <si>
    <t>2.7</t>
  </si>
  <si>
    <t>Výkop v jámě</t>
  </si>
  <si>
    <t>2.7.1 Levobřežní zeď</t>
  </si>
  <si>
    <t>2.7.2 koryto</t>
  </si>
  <si>
    <t>Výkop v nepažené jámě</t>
  </si>
  <si>
    <t>Položka č. 2.7.2</t>
  </si>
  <si>
    <t>Sjezd</t>
  </si>
  <si>
    <t>Horská vpust</t>
  </si>
  <si>
    <t>Tab.4</t>
  </si>
  <si>
    <t>vpust</t>
  </si>
  <si>
    <t xml:space="preserve">2.8 </t>
  </si>
  <si>
    <t>Zpětný hutněný zásyp štěrkovitým materiálem z výkopů</t>
  </si>
  <si>
    <t>Plocha v příčném profilu</t>
  </si>
  <si>
    <t>Zásyp kolem horské vpusti</t>
  </si>
  <si>
    <t>2.10</t>
  </si>
  <si>
    <t>Ohumusování a zatravnění svahů tl 200 mm</t>
  </si>
  <si>
    <t>2.11</t>
  </si>
  <si>
    <t>Ohumusování a zatravnění roviny tl 200 mm</t>
  </si>
  <si>
    <t>2.12</t>
  </si>
  <si>
    <t>Svahování  výkopů</t>
  </si>
  <si>
    <t>2.13</t>
  </si>
  <si>
    <t xml:space="preserve">2.14 </t>
  </si>
  <si>
    <t>Úprava pláně se zhutněním</t>
  </si>
  <si>
    <t>2.15</t>
  </si>
  <si>
    <t>Hutněný násyp úpravy koryta - začátek úprav</t>
  </si>
  <si>
    <t>Kamenná rovnanina s urovnáním líce , vyklínováním</t>
  </si>
  <si>
    <t>Kamenná rovnanina s urovnáním líce a prolitím betonem</t>
  </si>
  <si>
    <t>2.19</t>
  </si>
  <si>
    <t>2.20</t>
  </si>
  <si>
    <t>2.21</t>
  </si>
  <si>
    <t>3</t>
  </si>
  <si>
    <t>Betony</t>
  </si>
  <si>
    <t>3.1</t>
  </si>
  <si>
    <t>3.2</t>
  </si>
  <si>
    <t>Tabulka 1 (Položka 2.3-2.5)</t>
  </si>
  <si>
    <t>Přípočet - položka 2.4</t>
  </si>
  <si>
    <t>TL</t>
  </si>
  <si>
    <t xml:space="preserve">Objem </t>
  </si>
  <si>
    <t>Skrývky sjezd do nádrže</t>
  </si>
  <si>
    <t>PF05/20</t>
  </si>
  <si>
    <t>PF05/21</t>
  </si>
  <si>
    <t>PF05/22</t>
  </si>
  <si>
    <t>PF05/23</t>
  </si>
  <si>
    <t>PF05/24</t>
  </si>
  <si>
    <t>PF05/25</t>
  </si>
  <si>
    <t>kú</t>
  </si>
  <si>
    <t>PF 25 - započteno v korytě</t>
  </si>
  <si>
    <t>Celkem sjezd</t>
  </si>
  <si>
    <t>Přípočet</t>
  </si>
  <si>
    <t>Sjezd do nádrže</t>
  </si>
  <si>
    <t>Pomocný výpočet - zahrnuto do tabulky 1</t>
  </si>
  <si>
    <t>Výkop v nezapažené jámě</t>
  </si>
  <si>
    <t>Položka č. 2.7.1</t>
  </si>
  <si>
    <t>p1</t>
  </si>
  <si>
    <t>p2</t>
  </si>
  <si>
    <t>Celkem 2.7.1 Levobřežní zeď</t>
  </si>
  <si>
    <t xml:space="preserve"> most</t>
  </si>
  <si>
    <t>práh 1</t>
  </si>
  <si>
    <t>km 0,04246</t>
  </si>
  <si>
    <t>práh 2</t>
  </si>
  <si>
    <t>km 0,07032</t>
  </si>
  <si>
    <t>délka</t>
  </si>
  <si>
    <t>Úpravy  pod jezem</t>
  </si>
  <si>
    <t>Úpravy nad jezem</t>
  </si>
  <si>
    <t>Půdorysná plocha</t>
  </si>
  <si>
    <t>Hloubka</t>
  </si>
  <si>
    <t>délka m</t>
  </si>
  <si>
    <t>plocha m2</t>
  </si>
  <si>
    <t>objem m3</t>
  </si>
  <si>
    <t>2.7.3</t>
  </si>
  <si>
    <t>Poznámka</t>
  </si>
  <si>
    <t>30 cm výšky započteno v kubaturách koryta</t>
  </si>
  <si>
    <t>Položka 2.7.3</t>
  </si>
  <si>
    <t>Výkop pro sjezd</t>
  </si>
  <si>
    <t>přípočet</t>
  </si>
  <si>
    <t>Výkop pro patky  závory</t>
  </si>
  <si>
    <t>2.7.3 sjezd</t>
  </si>
  <si>
    <t>Výkopy v nezapažené jámě celkem</t>
  </si>
  <si>
    <t>2.7.1</t>
  </si>
  <si>
    <t>2.7.2</t>
  </si>
  <si>
    <t>Koryto</t>
  </si>
  <si>
    <t>sjezd</t>
  </si>
  <si>
    <t>Výkop SO 05 Celkem</t>
  </si>
  <si>
    <t>výkop</t>
  </si>
  <si>
    <t>Zásyp v prostoru schodiště pro vodáky</t>
  </si>
  <si>
    <t>2.9</t>
  </si>
  <si>
    <t>Sjezd - pravo</t>
  </si>
  <si>
    <t>Hutněný zásyp celkem</t>
  </si>
  <si>
    <t>Hutněný násyp celkem</t>
  </si>
  <si>
    <t xml:space="preserve">Hutněný násyp </t>
  </si>
  <si>
    <t>Tabulka 5</t>
  </si>
  <si>
    <t>Tabulka 6</t>
  </si>
  <si>
    <t>Položka č.2.10</t>
  </si>
  <si>
    <t>Ohumusování a zatravnění svahů v tl 200 mm</t>
  </si>
  <si>
    <t>vložený PF</t>
  </si>
  <si>
    <t>Vpravo</t>
  </si>
  <si>
    <t>Planimetrem</t>
  </si>
  <si>
    <t>Za lb zdí</t>
  </si>
  <si>
    <t>Tabulka 7</t>
  </si>
  <si>
    <t>Celkem sjezd - humus rovna</t>
  </si>
  <si>
    <t>Ohumusování svahů celkem</t>
  </si>
  <si>
    <t xml:space="preserve">Ohumusování a zatravnění roviny v tl. 200 mm Celkem </t>
  </si>
  <si>
    <t>Svahování násypů celkem</t>
  </si>
  <si>
    <t>Pod ohumusováním roviny</t>
  </si>
  <si>
    <t>šířka</t>
  </si>
  <si>
    <t>Podkladní beton C0/25</t>
  </si>
  <si>
    <t>Schodiště pro vodáky</t>
  </si>
  <si>
    <t>tl.</t>
  </si>
  <si>
    <t>Podkladní beton celkem</t>
  </si>
  <si>
    <t>LB zeď</t>
  </si>
  <si>
    <t>Schodiště - patka</t>
  </si>
  <si>
    <t>Patky pod závorou</t>
  </si>
  <si>
    <t xml:space="preserve">Plocha v řezu </t>
  </si>
  <si>
    <t>Železobeton C30/37 XF3XC3</t>
  </si>
  <si>
    <t>Schodiště</t>
  </si>
  <si>
    <t>Plocha v příčném řezu</t>
  </si>
  <si>
    <t>Šířka</t>
  </si>
  <si>
    <t>počet</t>
  </si>
  <si>
    <t>výška</t>
  </si>
  <si>
    <t>Započteno po lávku</t>
  </si>
  <si>
    <t>oprava stávající komunikace</t>
  </si>
  <si>
    <t>celkem</t>
  </si>
  <si>
    <t>Kácení křovin a mlazin</t>
  </si>
  <si>
    <t xml:space="preserve">Křoviny a mlaziny budou místě ve štěpkovači, případně spáleny s větvemi stromů. </t>
  </si>
  <si>
    <t>2.3</t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</si>
  <si>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</si>
  <si>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</si>
  <si>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</si>
  <si>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2.4</t>
  </si>
  <si>
    <t>2.5</t>
  </si>
  <si>
    <t>Výpočty viz výkaz výměr - kubaturové listy- KL 1</t>
  </si>
  <si>
    <t>Ohumusování a zatravnění roviny 200 mm</t>
  </si>
  <si>
    <t>Ohumusování roviny</t>
  </si>
  <si>
    <t>Svahování  násypů</t>
  </si>
  <si>
    <t>2.14</t>
  </si>
  <si>
    <t>Podkladní beton C 20/25</t>
  </si>
  <si>
    <t>Výpočty viz výkaz výměr - kubaturové listy- KL 2</t>
  </si>
  <si>
    <t>4</t>
  </si>
  <si>
    <t>Bednění</t>
  </si>
  <si>
    <t>délka zdi</t>
  </si>
  <si>
    <t>plocha</t>
  </si>
  <si>
    <t>Délka líce( voda)</t>
  </si>
  <si>
    <t>Délka líce( zemina)</t>
  </si>
  <si>
    <t>4.1</t>
  </si>
  <si>
    <t>Negativní bednění- oblouk</t>
  </si>
  <si>
    <t>4.2</t>
  </si>
  <si>
    <t>Negativní bednění-rovinné</t>
  </si>
  <si>
    <t>4.3</t>
  </si>
  <si>
    <t>Bednění do oblouku - rovinné</t>
  </si>
  <si>
    <t>Délka líce (zemina)</t>
  </si>
  <si>
    <t>4.4</t>
  </si>
  <si>
    <t>Bednění rovinné</t>
  </si>
  <si>
    <t>LB zeď - líc</t>
  </si>
  <si>
    <t>lb - římsa</t>
  </si>
  <si>
    <t>Délka v řezu</t>
  </si>
  <si>
    <t>Délka zdi</t>
  </si>
  <si>
    <t>Římsa</t>
  </si>
  <si>
    <t>Počet</t>
  </si>
  <si>
    <t>Schody pro vodáky</t>
  </si>
  <si>
    <t>Boční zídky</t>
  </si>
  <si>
    <t>2*3,8 +2*2,1=</t>
  </si>
  <si>
    <t>Základová patka</t>
  </si>
  <si>
    <t>2*1,2+2*0,7</t>
  </si>
  <si>
    <t>Základ pod závoru</t>
  </si>
  <si>
    <t>2*1*1,6</t>
  </si>
  <si>
    <t xml:space="preserve">Bednění rovinné Celkem </t>
  </si>
  <si>
    <t>Bednění do oblouku - rovinné Celkem</t>
  </si>
  <si>
    <t>2*0,8*0,6</t>
  </si>
  <si>
    <t>LB zeď - dilatační spáry</t>
  </si>
  <si>
    <t>4,3</t>
  </si>
  <si>
    <t>5</t>
  </si>
  <si>
    <t>Lešení</t>
  </si>
  <si>
    <t>Líc( voda )</t>
  </si>
  <si>
    <t>3,9*(25,6+52,5)</t>
  </si>
  <si>
    <t>6</t>
  </si>
  <si>
    <t>Výztuž 10 505(R)</t>
  </si>
  <si>
    <t>Uvažováno 80 kg/m3</t>
  </si>
  <si>
    <t>6.1</t>
  </si>
  <si>
    <t>6.2</t>
  </si>
  <si>
    <t>7</t>
  </si>
  <si>
    <t>7.2</t>
  </si>
  <si>
    <t>7.3</t>
  </si>
  <si>
    <t>Rozvinutý podélný řez</t>
  </si>
  <si>
    <t>Hmotnost</t>
  </si>
  <si>
    <t>kg/m2</t>
  </si>
  <si>
    <t>7.1</t>
  </si>
  <si>
    <t>kg/m</t>
  </si>
  <si>
    <t>délka 1 ks</t>
  </si>
  <si>
    <t xml:space="preserve">Pažení štětovými stěnami , celková plocha stěn </t>
  </si>
  <si>
    <t>Pažení štětovými stěnami ,beraněná plocha</t>
  </si>
  <si>
    <t>hmotnost kg/m</t>
  </si>
  <si>
    <t xml:space="preserve">kg </t>
  </si>
  <si>
    <t>Vodorovný nosník U 200 15% rezerva na překrytí</t>
  </si>
  <si>
    <t>Spojovací materiál 7% hmotnosti nosníku</t>
  </si>
  <si>
    <t xml:space="preserve">Ocelové konstrukce rozepření celkem </t>
  </si>
  <si>
    <t>.</t>
  </si>
  <si>
    <t>Hmotnost kg</t>
  </si>
  <si>
    <t>Čelní zídky</t>
  </si>
  <si>
    <t>schodnice</t>
  </si>
  <si>
    <t xml:space="preserve">Z toho </t>
  </si>
  <si>
    <t>Spojovací prostředku - 7%  hmotnosti nosníku</t>
  </si>
  <si>
    <t>Výpis výrobků</t>
  </si>
  <si>
    <t>8.1</t>
  </si>
  <si>
    <t>8.2</t>
  </si>
  <si>
    <t>8.3</t>
  </si>
  <si>
    <t>Vnitřní spárový pás do dilatací</t>
  </si>
  <si>
    <t>Požadavek na lehkou svařitelnost na stavbě. Včetně kotvení a montážních prvků.</t>
  </si>
  <si>
    <t>Třída zatížení  D 400</t>
  </si>
  <si>
    <t>Ocelová závora</t>
  </si>
  <si>
    <t xml:space="preserve">Délka </t>
  </si>
  <si>
    <t>Stabilizační prahy</t>
  </si>
  <si>
    <t>Opevněn dna za prahem vývaru tl 0,9 m těžký kamenný zához 80-200 kg</t>
  </si>
  <si>
    <t>Opevnění dna za prahem vývaru tl 1,65 m  těžký kamenný zához 80-200 kg</t>
  </si>
  <si>
    <t>Plocha v řezu 1</t>
  </si>
  <si>
    <t>Plocha v řezu 2</t>
  </si>
  <si>
    <t>Výkop = zához</t>
  </si>
  <si>
    <t>Délka - prům délka</t>
  </si>
  <si>
    <t>Opevnění LB břehu  od zdi do konce úprav</t>
  </si>
  <si>
    <t>Záhozová patka pod schody pro vodáky</t>
  </si>
  <si>
    <t>LB zeď  mezi betonem a štětovou zdí</t>
  </si>
  <si>
    <t>Dolní část sjezdu</t>
  </si>
  <si>
    <t>Tabulka 9</t>
  </si>
  <si>
    <t>plocha nad jezem</t>
  </si>
  <si>
    <t>151+158+30+445</t>
  </si>
  <si>
    <t>plocha pod jezem</t>
  </si>
  <si>
    <t>Plocha celkem</t>
  </si>
  <si>
    <t>Tloušťka</t>
  </si>
  <si>
    <t xml:space="preserve">0,3-0,4 </t>
  </si>
  <si>
    <t>Levý svah</t>
  </si>
  <si>
    <t>Délka z půdorysu</t>
  </si>
  <si>
    <t>Pravý svah</t>
  </si>
  <si>
    <t>Plocha v řezu (prům)</t>
  </si>
  <si>
    <t>Úprava pláně bez zhutnění - pod ohumusováním roviny</t>
  </si>
  <si>
    <t>Úprava pláně se zhutnění - zpevněné plochy</t>
  </si>
  <si>
    <t>Těžký kamenný zához v nadjezí  kolem rybího přechodu s proštěrkováním</t>
  </si>
  <si>
    <t>Pohoz 0,3 - 0,4m z místního materiálu přirozené dnové dlažby</t>
  </si>
  <si>
    <t>Sloupky</t>
  </si>
  <si>
    <t>2,09 kg/m</t>
  </si>
  <si>
    <t>madlo</t>
  </si>
  <si>
    <t>výplň</t>
  </si>
  <si>
    <t>Zábradlí celkem</t>
  </si>
  <si>
    <t>Počet sloupků</t>
  </si>
  <si>
    <t>34/1,8+2</t>
  </si>
  <si>
    <t>21*1,1*2,09</t>
  </si>
  <si>
    <t>34*2,09 kg/m</t>
  </si>
  <si>
    <t>34*1,38 kg/m</t>
  </si>
  <si>
    <t xml:space="preserve">Poznámka : bourání levobřežní zdi je započteno po betonovou lávku -(SO 03) </t>
  </si>
  <si>
    <t>LB nad jezem</t>
  </si>
  <si>
    <t xml:space="preserve"> Ocelové zábradlí  LB zdí výšky 1,1- válcované profily - délky 34 m, počet sloupků 21</t>
  </si>
  <si>
    <t>PB nad jezem</t>
  </si>
  <si>
    <t>PB pod jezem</t>
  </si>
  <si>
    <t>100-300</t>
  </si>
  <si>
    <t>300-500</t>
  </si>
  <si>
    <t>500-700</t>
  </si>
  <si>
    <t>ostrůvek</t>
  </si>
  <si>
    <t>mm</t>
  </si>
  <si>
    <t>2.1.1</t>
  </si>
  <si>
    <t>2.1.2</t>
  </si>
  <si>
    <t>2.1.3</t>
  </si>
  <si>
    <t>2.1.4</t>
  </si>
  <si>
    <t>2.1.5</t>
  </si>
  <si>
    <t>2.1.6</t>
  </si>
  <si>
    <t xml:space="preserve">Posouzení nutnosti pokácení  dalších  stromů </t>
  </si>
  <si>
    <t xml:space="preserve">bude započteno do kácení </t>
  </si>
  <si>
    <t>14-ks (32 kmenů)</t>
  </si>
  <si>
    <t>2.1.7</t>
  </si>
  <si>
    <t>2.2.</t>
  </si>
  <si>
    <t>Výsadba</t>
  </si>
  <si>
    <t>strom</t>
  </si>
  <si>
    <t>keř</t>
  </si>
  <si>
    <t>VD2 - pravý břeh koryta Opavy v podjezí, podél rybího přechodu (SO 02)</t>
  </si>
  <si>
    <t>VD3 – v podjezí, mezi sjezdem do koryta a silničním mostem (SO 04)</t>
  </si>
  <si>
    <t xml:space="preserve">VD4 – pravý břeh koryta Opavy pod silničním mostem (SO 04) </t>
  </si>
  <si>
    <t>VD5 – ostrůvek mezi koryty Opavy, náhonu a silničním mostem (SO 04)</t>
  </si>
  <si>
    <t>vrbové řízky</t>
  </si>
  <si>
    <t>VD6 - ostrůvek mezi koryty Opavy, náhonu a silničním mostem (SO 04)</t>
  </si>
  <si>
    <t>Solitérní výsadba v okolí odpadního koryta</t>
  </si>
  <si>
    <t>Stromy +- odrosty</t>
  </si>
  <si>
    <t>Vrbové řízky</t>
  </si>
  <si>
    <t>Výsadba - tab umístění viz KL1</t>
  </si>
  <si>
    <t>Skladba</t>
  </si>
  <si>
    <t>Asfaltový beton pro obrusné vrstvy ACO 11+ tl 40 mm</t>
  </si>
  <si>
    <t xml:space="preserve">Sjezd </t>
  </si>
  <si>
    <t>Sjezd 43m2</t>
  </si>
  <si>
    <t>vibrovaný štěrk</t>
  </si>
  <si>
    <t>štěrkopísek</t>
  </si>
  <si>
    <t>Zpevněné komunikace</t>
  </si>
  <si>
    <t>2.22</t>
  </si>
  <si>
    <t>Výpočet viz KL 1 zemní práce</t>
  </si>
  <si>
    <t>štěrkopísek - 200 mm</t>
  </si>
  <si>
    <t>Celková tloušťka  500  mm</t>
  </si>
  <si>
    <t>Štěrkové vozovky</t>
  </si>
  <si>
    <t>2.22.1</t>
  </si>
  <si>
    <t>2.22.2</t>
  </si>
  <si>
    <t>2.23</t>
  </si>
  <si>
    <t>Zemní krajnice</t>
  </si>
  <si>
    <t>Přístupová komunikace</t>
  </si>
  <si>
    <t>Plocha P</t>
  </si>
  <si>
    <t>2.17.1</t>
  </si>
  <si>
    <t>2.17.2</t>
  </si>
  <si>
    <t>2.16.2</t>
  </si>
  <si>
    <t>2.16.2 Těžký kamenný zához do 500 kg - stabilizační prahy</t>
  </si>
  <si>
    <t>;</t>
  </si>
  <si>
    <t>Těžký kamenný zához  do 500 kg - stabilizační prahy</t>
  </si>
  <si>
    <t>2.18.1</t>
  </si>
  <si>
    <t>2.18.2</t>
  </si>
  <si>
    <t>Kamenná rovnanina s urovnáním líce s prolitím betonem</t>
  </si>
  <si>
    <t>Těžký kamenný zához 80-200 kg -s prolitím betonem</t>
  </si>
  <si>
    <t>objem</t>
  </si>
  <si>
    <t>2.22.3</t>
  </si>
  <si>
    <t>2.22.4</t>
  </si>
  <si>
    <t>2.22.5</t>
  </si>
  <si>
    <t>2.23.1</t>
  </si>
  <si>
    <t>2.23.2</t>
  </si>
  <si>
    <t>2.24</t>
  </si>
  <si>
    <t>Kamenná dlažba do betonu(250/200) - pod schody pro vodáky</t>
  </si>
  <si>
    <t>2.25</t>
  </si>
  <si>
    <t>Zásyp kanalizačního potrubí za LB zdí</t>
  </si>
  <si>
    <t>Výkop</t>
  </si>
  <si>
    <t>8</t>
  </si>
  <si>
    <t>Výrobky</t>
  </si>
  <si>
    <t>Materiál :</t>
  </si>
  <si>
    <t xml:space="preserve">Poplastované pletivo š.1800mm...         </t>
  </si>
  <si>
    <t>sloupek rohový</t>
  </si>
  <si>
    <t xml:space="preserve">Sloupek opatřený krytem  dl.2600mm, Ø48mm......                                                </t>
  </si>
  <si>
    <t>LB</t>
  </si>
  <si>
    <t>Délka 1 spáry</t>
  </si>
  <si>
    <t>Počet spar</t>
  </si>
  <si>
    <t xml:space="preserve">Celková délka </t>
  </si>
  <si>
    <t>Započtena i spára mezi so 05 a so 03</t>
  </si>
  <si>
    <t>8.4</t>
  </si>
  <si>
    <t xml:space="preserve">Vnitřní pás kombinovaný </t>
  </si>
  <si>
    <t>rezerva 10 %</t>
  </si>
  <si>
    <t>8.5</t>
  </si>
  <si>
    <t>madlo-D profil 50x50/5</t>
  </si>
  <si>
    <t>sloupek-čtvercová trubka 51x51/6, dl.1,10m</t>
  </si>
  <si>
    <t>včetně kotvení patky nerez</t>
  </si>
  <si>
    <t>svislá výplň, tr.38/5, dl. 0,88m</t>
  </si>
  <si>
    <t>Spojovací a ukončovací prvky, dilatační spojky, kotvení patek sloupků chemickými kotvami</t>
  </si>
  <si>
    <t>Strukturní matrice do betonu</t>
  </si>
  <si>
    <t>8.6</t>
  </si>
  <si>
    <t xml:space="preserve">Včetně dodávky, montáže a demontáže. </t>
  </si>
  <si>
    <t>8.7</t>
  </si>
  <si>
    <t>8.8</t>
  </si>
  <si>
    <t xml:space="preserve">V plochách výsadeb bude využit lesnický sadební materiál, a to sazenice s nadzemní částí o výšce do 50 cm, poloodrostky s výškou 51 - 120 cm </t>
  </si>
  <si>
    <t>Skrývka sjezd</t>
  </si>
  <si>
    <t>Celková tloušťka 310mm</t>
  </si>
  <si>
    <t>LB zeď BLOK 05-1 - 05-5</t>
  </si>
  <si>
    <t>LB zeď BLOK 05-6- 05-10</t>
  </si>
  <si>
    <t>Výkaz výměr - Rekapitulace</t>
  </si>
  <si>
    <t>Bourání betonových konstrukcí</t>
  </si>
  <si>
    <t>Poznámka: Ve výpočtu zahrnuta demontáž na celou délku zábradlí</t>
  </si>
  <si>
    <t>Demontáž dřevěného plotu u sjezdu výšky 1,2 m</t>
  </si>
  <si>
    <t>Keře- odrosty</t>
  </si>
  <si>
    <t xml:space="preserve">Těžký kamenný zához (80-200) kg s proštěrkováním </t>
  </si>
  <si>
    <t>Pohoz 0,3 - 0,4m z místního materiálu přirozené dnové dlažby   Použit materiál z odtěžení dna uloženy na separované mezideponii</t>
  </si>
  <si>
    <r>
      <t>Spojovací postřik kationkativní emulze 0,25 kg/ m</t>
    </r>
    <r>
      <rPr>
        <vertAlign val="superscript"/>
        <sz val="11"/>
        <rFont val="Calibri"/>
        <family val="2"/>
        <charset val="238"/>
        <scheme val="minor"/>
      </rPr>
      <t>2</t>
    </r>
  </si>
  <si>
    <t>Asfaltový beton pro ložné vrstvy ACP 16+ tl 70 mm</t>
  </si>
  <si>
    <r>
      <t>Spojovací postřik kationkativní emulze 0,4kg/ m</t>
    </r>
    <r>
      <rPr>
        <vertAlign val="superscript"/>
        <sz val="11"/>
        <rFont val="Calibri"/>
        <family val="2"/>
        <charset val="238"/>
        <scheme val="minor"/>
      </rPr>
      <t>2</t>
    </r>
  </si>
  <si>
    <t>Štěrkodrť    ŠD b tl 200 mm</t>
  </si>
  <si>
    <t>Štěrkové komunikace - sjezd</t>
  </si>
  <si>
    <t>Skácené stromy budou mezi deponovány při obvodu staveniště, dřevní hmota (kmeny) bude nakrácena na délku 1 metr a nabídnuta zájemcům jako palivové dřevo, případně uložena na skládku. V rozpočtu uvažováno  uložení pařezů na skládku</t>
  </si>
  <si>
    <t>Výkaz výměr - Kubaturový list 1</t>
  </si>
  <si>
    <t>Plocha v půdorysu</t>
  </si>
  <si>
    <t>Demontáž oplocení drátěného výšky 2,5 m  včetně bourání betonových základů</t>
  </si>
  <si>
    <t>Poznámka : Vzdálenosti příčných řezů na ose levobřežní zdi</t>
  </si>
  <si>
    <t>Poznámka bourání a výkopy pod starým jezem viz SO 01</t>
  </si>
  <si>
    <t>Konec úsek započten ve výkopu koryta</t>
  </si>
  <si>
    <t>Zásyp za LB opěrnou zdí</t>
  </si>
  <si>
    <t>Hutněný násyp nad rybím přechodem (po řez 05/24)</t>
  </si>
  <si>
    <t>Plocha v příčném profilu - prům..</t>
  </si>
  <si>
    <t>Plocha - v levo</t>
  </si>
  <si>
    <t>Prům.. šířka</t>
  </si>
  <si>
    <t xml:space="preserve">Plocha - </t>
  </si>
  <si>
    <t>Tloušťky 0,9 m.</t>
  </si>
  <si>
    <t>Těžký kamenný zához (80-200) kg s proštěrkováním Celkem</t>
  </si>
  <si>
    <t>Rovnanina</t>
  </si>
  <si>
    <t>Asfaltový beton pro ložné vrstvy ACL 16+ tl 70mm</t>
  </si>
  <si>
    <t>Plocha L</t>
  </si>
  <si>
    <t>Zemní krajnice celkem</t>
  </si>
  <si>
    <t>Obsyp kanalizačního potrubí za LB  zdí</t>
  </si>
  <si>
    <t>Výkaz výměr - Kubaturový list 2</t>
  </si>
  <si>
    <t>Výkaz výměr - Kubaturový list 3</t>
  </si>
  <si>
    <t>700-900</t>
  </si>
  <si>
    <t>SO 05</t>
  </si>
  <si>
    <t>Od mostu po MVE</t>
  </si>
  <si>
    <t>OD MVE LB</t>
  </si>
  <si>
    <t>OD MVE PB</t>
  </si>
  <si>
    <t>SO 03</t>
  </si>
  <si>
    <t>KMENY</t>
  </si>
  <si>
    <t>PAŘEZY</t>
  </si>
  <si>
    <t>Stávající pařezy</t>
  </si>
  <si>
    <t>2.1.8</t>
  </si>
  <si>
    <t>2.1.9</t>
  </si>
  <si>
    <t xml:space="preserve">Mýcení křovin </t>
  </si>
  <si>
    <t>2.1.10</t>
  </si>
  <si>
    <t>Kacení a mýcení dřevin</t>
  </si>
  <si>
    <t>Kácení mýcení dřevin</t>
  </si>
  <si>
    <t>Kácení kmenů prům.100-300 mm</t>
  </si>
  <si>
    <t>Kácení kmenů prům.300 -500 mm</t>
  </si>
  <si>
    <t>Kácení kmenů prům.500-700mm</t>
  </si>
  <si>
    <t>Kácení kmenů prům.700-900mm</t>
  </si>
  <si>
    <t>Odstranění pařezů 100-300 mm</t>
  </si>
  <si>
    <t>Odstranění pařezů 300-500 mm</t>
  </si>
  <si>
    <t>Odstranění pařezů 500-700 mm</t>
  </si>
  <si>
    <t>Odstranění pařezů7 00-900 mm</t>
  </si>
  <si>
    <t>Kamenný obklad schodiště pro vodáky výšky 166 mm - kamenné kopáky hrubě opracované na cementovou maltu</t>
  </si>
  <si>
    <t>8.16</t>
  </si>
  <si>
    <t>Okapový nos do bednění říms - plast</t>
  </si>
  <si>
    <t>8.17</t>
  </si>
  <si>
    <t>8.20</t>
  </si>
  <si>
    <t>Lišta na zkosení rohů římsy 15/15</t>
  </si>
  <si>
    <t>Příčný a podélný řez</t>
  </si>
  <si>
    <t>trubka rozepření  DN 102x4</t>
  </si>
  <si>
    <t xml:space="preserve">Počet - rozteč 2,0 m </t>
  </si>
  <si>
    <t>Délka celkem</t>
  </si>
  <si>
    <t xml:space="preserve">Vodorovný nosník U 200 - 15% rezerva na překrytí </t>
  </si>
  <si>
    <t>Ostatní rozpěry započteny v SO 01- viz zakládání I a II etapa</t>
  </si>
  <si>
    <t>1/Z</t>
  </si>
  <si>
    <t xml:space="preserve">Vnitřní spárový pás z měkčeného PVC pro dilatační spáry š.240 mm pro zatížení výškou vodního sloupce do 20 m. </t>
  </si>
  <si>
    <t>výšky 150 mm. Včetně stabilizačních prvků a spojek.</t>
  </si>
  <si>
    <t xml:space="preserve">Vnitřní pás kombinovaný do pracovních spár ukládaný na výztuž pro zatížení 5 bar, </t>
  </si>
  <si>
    <t>31,5+41</t>
  </si>
  <si>
    <t>Kompozitní zábradlí se svislou výplní, délka 72,5m</t>
  </si>
  <si>
    <t>vodorovný profil 51x51/6 včetně kotevní patky nerez</t>
  </si>
  <si>
    <t>viz výkres 05_3.6.1 - výpočet</t>
  </si>
  <si>
    <t>Kotevní destičky nerez               100   x130</t>
  </si>
  <si>
    <t xml:space="preserve">Kotevní trubka nerez </t>
  </si>
  <si>
    <t>38x3</t>
  </si>
  <si>
    <t>Celková plocha</t>
  </si>
  <si>
    <t>4* 2,5*2,1</t>
  </si>
  <si>
    <t>Matrice bude použita opakovaně</t>
  </si>
  <si>
    <t>Za předpokladu, že se budou stavět 3 bloky je v rozpočtu započteno</t>
  </si>
  <si>
    <t xml:space="preserve">Dodávka, montáž a demontáž. </t>
  </si>
  <si>
    <t>35 %  z celkové plochy</t>
  </si>
  <si>
    <t>2*76+0,7</t>
  </si>
  <si>
    <t>Horská vpust je typový výrobek s vnitřními světlými rozměru 1 200 x 600 mm, světlou  výškou 1000 mm, .</t>
  </si>
  <si>
    <t>Na železobetonovou akumulační část je uložena zákrytová deska  včetně mříže z polyplastu</t>
  </si>
  <si>
    <t>Tím jsou splněny podmínky pro vytvoření akumulačního prostoru na splaveniny</t>
  </si>
  <si>
    <t>Horská vpust   1/B</t>
  </si>
  <si>
    <t>2/B</t>
  </si>
  <si>
    <t>Meliorační odvodňovací tvárnice do betonu 330*570*80*140 (l*b*t*h)</t>
  </si>
  <si>
    <t>1/P</t>
  </si>
  <si>
    <t>2/P</t>
  </si>
  <si>
    <t>4/P</t>
  </si>
  <si>
    <t>3/P</t>
  </si>
  <si>
    <t>6/P</t>
  </si>
  <si>
    <t>Polystyrén do dilatačních spár tl. 20 mm, lb zeď</t>
  </si>
  <si>
    <t>plocha v řezu A</t>
  </si>
  <si>
    <t>plocha v řezu B</t>
  </si>
  <si>
    <t>počet spar</t>
  </si>
  <si>
    <t xml:space="preserve">Plocha celkem </t>
  </si>
  <si>
    <t>(8,8+8,3)*5</t>
  </si>
  <si>
    <t>Těsnící provazec a trvale pružný tmel do dilatačních spár š. 20 mm,</t>
  </si>
  <si>
    <t>Zavazovací LB zeď</t>
  </si>
  <si>
    <t>Délka v řezu A</t>
  </si>
  <si>
    <t>Délka v řezu B</t>
  </si>
  <si>
    <t>(4.6+3.6)*5</t>
  </si>
  <si>
    <t>21/P</t>
  </si>
  <si>
    <t>10/P</t>
  </si>
  <si>
    <t>11/P</t>
  </si>
  <si>
    <t>Prostup pro odtokové potrubí (DN 200)  je navrženo na stěně šířky 1200 mm na kótě 346,05 m n.m.</t>
  </si>
  <si>
    <t>Veškeré kovové, plastové a betonové výrobky viz příloha 05_6 Výpis výrobků</t>
  </si>
  <si>
    <t>Barevné řešení : modrá  zelená</t>
  </si>
  <si>
    <r>
      <t>Oplocení pozinkované a poplastované</t>
    </r>
    <r>
      <rPr>
        <sz val="10"/>
        <color theme="1"/>
        <rFont val="Arial"/>
        <family val="2"/>
        <charset val="238"/>
      </rPr>
      <t>, výška 2,10 m.</t>
    </r>
  </si>
  <si>
    <t>Sloupky osazeny do betonových patek v rozteči 2,5 m</t>
  </si>
  <si>
    <t>20/P</t>
  </si>
  <si>
    <r>
      <t>Polystyrenové desky tl. 20 mm</t>
    </r>
    <r>
      <rPr>
        <sz val="10"/>
        <color theme="1"/>
        <rFont val="Arial"/>
        <family val="2"/>
        <charset val="238"/>
      </rPr>
      <t xml:space="preserve"> – pomocná konstrukce umožňující následné </t>
    </r>
  </si>
  <si>
    <t>vytažení štětovnic po dokončení stavy – LB zeď nad jezem.</t>
  </si>
  <si>
    <t xml:space="preserve"> Včetně spojovacích a uchycovacích prvků</t>
  </si>
  <si>
    <t>Vzor A</t>
  </si>
  <si>
    <t xml:space="preserve">výška </t>
  </si>
  <si>
    <t xml:space="preserve">Plocha </t>
  </si>
  <si>
    <t>Celková plocha ( kontaktu štětovnice -beton</t>
  </si>
  <si>
    <t>Vzor B</t>
  </si>
  <si>
    <r>
      <t xml:space="preserve">Polystyren na 1/2 plochy </t>
    </r>
    <r>
      <rPr>
        <sz val="10"/>
        <color theme="1"/>
        <rFont val="Calibri"/>
        <family val="2"/>
        <charset val="238"/>
      </rPr>
      <t>=&gt;</t>
    </r>
  </si>
  <si>
    <t>315/2</t>
  </si>
  <si>
    <t>Stavební voděvzdorná překližka tl 6mm</t>
  </si>
  <si>
    <t>5/P</t>
  </si>
  <si>
    <t>13+10</t>
  </si>
  <si>
    <t>Kanalizační šachta výšky cca 1,5</t>
  </si>
  <si>
    <t>základ</t>
  </si>
  <si>
    <t>0,3*0,**0,6*(118/2,5)</t>
  </si>
  <si>
    <t>Oplocení výšky 2,5 m  včetně bourání betonových základů, drátěný plot - základ 2,6 m3</t>
  </si>
  <si>
    <t>VD1-pravý břeh koryta Opavy v nadjezí, podél rybího přechodu (SO 02)</t>
  </si>
  <si>
    <r>
      <t>m</t>
    </r>
    <r>
      <rPr>
        <vertAlign val="superscript"/>
        <sz val="8"/>
        <rFont val="Arial"/>
        <family val="2"/>
        <charset val="238"/>
      </rPr>
      <t>2</t>
    </r>
  </si>
  <si>
    <r>
      <t>m</t>
    </r>
    <r>
      <rPr>
        <vertAlign val="superscript"/>
        <sz val="8"/>
        <rFont val="Arial"/>
        <family val="2"/>
        <charset val="238"/>
      </rPr>
      <t>3</t>
    </r>
  </si>
  <si>
    <t xml:space="preserve">Přípočet </t>
  </si>
  <si>
    <t>položka 2.3</t>
  </si>
  <si>
    <t>tl</t>
  </si>
  <si>
    <t>Plocha pod mostem</t>
  </si>
  <si>
    <t>PB po stav. jez</t>
  </si>
  <si>
    <t>v řezu</t>
  </si>
  <si>
    <t>Přípočet 2.3 celkem</t>
  </si>
  <si>
    <t>Celkem Tabulka</t>
  </si>
  <si>
    <t>Odkopávka dnového materiálu      tl 300 mm  , tř 3 I         Dnový štěrkovitý až kamenitý substrát bude po odtěžení uložen na mezideponii s následným využitím jako pohoz dna</t>
  </si>
  <si>
    <t>Výkop v pažené jámě , výkop tř. 3 I</t>
  </si>
  <si>
    <t>Skrývka kolem horské vpusti a podél zavazovací zdi</t>
  </si>
  <si>
    <t>Štěrkový obsyp ID min.0,8 FR 4-8</t>
  </si>
  <si>
    <t>V případě budování kanalizační šachty</t>
  </si>
  <si>
    <t>Obsyp celkem</t>
  </si>
  <si>
    <r>
      <t xml:space="preserve">Obsyp kanalizačního potrubí za lB zdí- Štěrkový obsyp ID min.0,8 FR 4-8                                                                           V projektu 1,6m3                                                                           Pokud bude změna řešení s šachtou </t>
    </r>
    <r>
      <rPr>
        <sz val="11"/>
        <rFont val="Calibri"/>
        <family val="2"/>
        <charset val="238"/>
      </rPr>
      <t>=&gt;&gt;</t>
    </r>
    <r>
      <rPr>
        <sz val="14.65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přípočet 5,6 m3</t>
    </r>
  </si>
  <si>
    <t>Vibrovaný štěrk 300 mm</t>
  </si>
  <si>
    <t>Skladba asfaltové vozovky-Celková tloušťka 310 mm</t>
  </si>
  <si>
    <t>Skladba asfaltové vozovky - celková tl. 310 mm</t>
  </si>
  <si>
    <t xml:space="preserve">LB kom.  </t>
  </si>
  <si>
    <r>
      <t>LB komunikace (Délka úpravy 52,0m)3,5*52=182 m</t>
    </r>
    <r>
      <rPr>
        <vertAlign val="superscript"/>
        <sz val="11"/>
        <rFont val="Calibri"/>
        <family val="2"/>
        <charset val="238"/>
        <scheme val="minor"/>
      </rPr>
      <t>2</t>
    </r>
  </si>
  <si>
    <t>3,7*52</t>
  </si>
  <si>
    <r>
      <t>Spojovací postřik kationkativní emulze 0,40 kg/ m</t>
    </r>
    <r>
      <rPr>
        <vertAlign val="superscript"/>
        <sz val="11"/>
        <rFont val="Calibri"/>
        <family val="2"/>
        <charset val="238"/>
        <scheme val="minor"/>
      </rPr>
      <t>2</t>
    </r>
  </si>
  <si>
    <t>LB kom.  4,5*0,2*52</t>
  </si>
  <si>
    <t>Sjezd 47*0,2</t>
  </si>
  <si>
    <t>2.4.1</t>
  </si>
  <si>
    <t>2.4.2</t>
  </si>
  <si>
    <t>Odkopávka dnového materiálu - výpočet viz tabulka 1</t>
  </si>
  <si>
    <t>2.6.1</t>
  </si>
  <si>
    <t>2.6.2</t>
  </si>
  <si>
    <t>Výkop v pažené rýze</t>
  </si>
  <si>
    <t>a</t>
  </si>
  <si>
    <t xml:space="preserve">Odběrní a výpustné potrubí </t>
  </si>
  <si>
    <t xml:space="preserve">b </t>
  </si>
  <si>
    <t>Dálka</t>
  </si>
  <si>
    <t>potrubí dn 300</t>
  </si>
  <si>
    <t>šachta</t>
  </si>
  <si>
    <t>1,5*2*2</t>
  </si>
  <si>
    <t>Výkop v pažené rýze , výkop tř. 3 I -  ve výměře je započtea varanta s kanalizační šachtou a prodlouženém vákopu pro odběrné potrubí DN 300 (+18 m3)</t>
  </si>
  <si>
    <t>c</t>
  </si>
  <si>
    <t xml:space="preserve"> </t>
  </si>
  <si>
    <t>Příčné prahy</t>
  </si>
  <si>
    <t xml:space="preserve">Šířka </t>
  </si>
  <si>
    <t>Odpočet 0,6*0,6*3,14*1,8</t>
  </si>
  <si>
    <t>Délka po vpust</t>
  </si>
  <si>
    <t>Délka od vpusti</t>
  </si>
  <si>
    <t>Délka krajnice</t>
  </si>
  <si>
    <t xml:space="preserve">Horská vpust (planimetrem) </t>
  </si>
  <si>
    <t>Až po konec zdi</t>
  </si>
  <si>
    <t>Celkem sjezd - humus rovina</t>
  </si>
  <si>
    <t>Vpust</t>
  </si>
  <si>
    <t xml:space="preserve">Celkem </t>
  </si>
  <si>
    <t>5*52</t>
  </si>
  <si>
    <t>Výtokový objekt ( DN 300</t>
  </si>
  <si>
    <t>Negativní bednění rovinné</t>
  </si>
  <si>
    <t>Patky plotu</t>
  </si>
  <si>
    <t xml:space="preserve">Počet </t>
  </si>
  <si>
    <t>Ks</t>
  </si>
  <si>
    <t>Obetonování potrubí DN 300</t>
  </si>
  <si>
    <t>vtokový  objekt DN 300</t>
  </si>
  <si>
    <t>Dno</t>
  </si>
  <si>
    <t>Plocha v půdoryse</t>
  </si>
  <si>
    <t>Čelo</t>
  </si>
  <si>
    <t>Čelní plocha</t>
  </si>
  <si>
    <t>Boční stěny</t>
  </si>
  <si>
    <t>Délka z obou stran</t>
  </si>
  <si>
    <t>4*0,04</t>
  </si>
  <si>
    <t>Štětové stěny VL 604 - Dočasné</t>
  </si>
  <si>
    <t>7.4</t>
  </si>
  <si>
    <t>Vnější (zemina) A</t>
  </si>
  <si>
    <t>Vnější (zemina) B</t>
  </si>
  <si>
    <t>5,9*41,3</t>
  </si>
  <si>
    <t>Štětovnice jsou beraněny v celé ploše</t>
  </si>
  <si>
    <t>Dočasná štětové stěny VL 604</t>
  </si>
  <si>
    <t>Odstranění  ( vytažení ) v plném rozsahu, znovu použitelné</t>
  </si>
  <si>
    <t>6,5*33,95</t>
  </si>
  <si>
    <t>Rozpěry - ocelová trubka 102/4 , délky 3,1 m v rozteči 2 m - 2 ks na profil - 43 ks</t>
  </si>
  <si>
    <t>2.8.1</t>
  </si>
  <si>
    <t>Zpětný zásyp  štěrkovitým materiálem z výkopu za rubem LB zdi po vytažení štětovnic</t>
  </si>
  <si>
    <t>Délka 1 ks</t>
  </si>
  <si>
    <t>Celkem zasypávaných kusů</t>
  </si>
  <si>
    <t>75,2 m/ 0,6 m/ 2</t>
  </si>
  <si>
    <t xml:space="preserve">Celkový objem zásypů </t>
  </si>
  <si>
    <t>Zasypávaná plocha jedné štětovnice</t>
  </si>
  <si>
    <t>Objem zásypu 1 ks</t>
  </si>
  <si>
    <t>(0,8+0,4)/2*0,4</t>
  </si>
  <si>
    <t>63*1,56</t>
  </si>
  <si>
    <t>po vytažení štětové stěny</t>
  </si>
  <si>
    <t>2.7.A</t>
  </si>
  <si>
    <t>Ručně kopané sondy pro zjištění uložení inženýrských sítí</t>
  </si>
  <si>
    <t xml:space="preserve">Za levobřežní zdí </t>
  </si>
  <si>
    <t>1,2*0,6*1,5</t>
  </si>
  <si>
    <t xml:space="preserve">4 </t>
  </si>
  <si>
    <t xml:space="preserve">Celkový objem </t>
  </si>
  <si>
    <t>Provizorní sjezd</t>
  </si>
  <si>
    <t>1,2*0,6*1,2</t>
  </si>
  <si>
    <t>Ruční výkop - kopané sondy celkem</t>
  </si>
  <si>
    <t>Potrubí</t>
  </si>
  <si>
    <t>Zásyp kanalizačního potrubí za LB zdí v případě prodloužení - šachta</t>
  </si>
  <si>
    <t>(2,1+0,5)/2*2,7</t>
  </si>
  <si>
    <t>1*0,5*1,2</t>
  </si>
  <si>
    <t>2.20.1</t>
  </si>
  <si>
    <t>Kamenná dlažba do betonu (250/200)</t>
  </si>
  <si>
    <t>Pod schody pro vodáky</t>
  </si>
  <si>
    <t>2.20.2</t>
  </si>
  <si>
    <t>Nad a pod vtokem</t>
  </si>
  <si>
    <t>2,5 *1,8</t>
  </si>
  <si>
    <t>Podél vtoku</t>
  </si>
  <si>
    <t>2,1m*2*0,6</t>
  </si>
  <si>
    <t>Plocha dlažby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</si>
  <si>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</si>
  <si>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</si>
  <si>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t>tl. 60</t>
  </si>
  <si>
    <t>64/0,6</t>
  </si>
  <si>
    <t>TKZ před jezem  před jezem tl 1,35 m</t>
  </si>
  <si>
    <t>TKZ před jezem  před jezem tl 0,9 m</t>
  </si>
  <si>
    <t>Plocha patky v řezu</t>
  </si>
  <si>
    <t xml:space="preserve">Opevnění pod mostem </t>
  </si>
  <si>
    <t>Záhozová patka nad jezem PB</t>
  </si>
  <si>
    <t>Délka před mostem</t>
  </si>
  <si>
    <t>Délka za mostem po jez</t>
  </si>
  <si>
    <t>Délka celkem 54+20,7</t>
  </si>
  <si>
    <t>Délka za mostem po rybochod</t>
  </si>
  <si>
    <t xml:space="preserve">Půd. plocha za rovnaninou sjezdu </t>
  </si>
  <si>
    <t>Těžký kam. zához ve dně v místě stávajícího jezu tl.600mm</t>
  </si>
  <si>
    <t>TL.</t>
  </si>
  <si>
    <t>Záhozová patka opevnění svahů</t>
  </si>
  <si>
    <t>Opevnění dna koryta celkem</t>
  </si>
  <si>
    <t xml:space="preserve"> opevnění svahů objem</t>
  </si>
  <si>
    <t xml:space="preserve"> opevnění svahů plocha</t>
  </si>
  <si>
    <t>Přísyp na začátku LB zdi</t>
  </si>
  <si>
    <t>Patka pod přísypem na konci zdi</t>
  </si>
  <si>
    <t>Levý břeh celkem</t>
  </si>
  <si>
    <t>(6,7+2)/2 *25</t>
  </si>
  <si>
    <t>Od RP po schody</t>
  </si>
  <si>
    <t>Od shodu ke konci úpravy</t>
  </si>
  <si>
    <t>7*30,8</t>
  </si>
  <si>
    <t>2.16.1.A Těžký kamenný zához 80-200 kg - Opevnění dna</t>
  </si>
  <si>
    <t>Opevnění dna pod jezem</t>
  </si>
  <si>
    <t>Patka v konci úprav</t>
  </si>
  <si>
    <t>LB- pod jezem</t>
  </si>
  <si>
    <t>PB - pod jezem</t>
  </si>
  <si>
    <t>Opevnění dna u sjezdu PB</t>
  </si>
  <si>
    <t>Opevnění dna nad jezem</t>
  </si>
  <si>
    <t xml:space="preserve">2.16.1 B   Těžký kamenný zához 80-200 kg s urovnáním líce a vyklínováním  </t>
  </si>
  <si>
    <t>Opevnění svahů</t>
  </si>
  <si>
    <t>Pravý břeh</t>
  </si>
  <si>
    <t>V nadjezí</t>
  </si>
  <si>
    <t xml:space="preserve"> SUČET</t>
  </si>
  <si>
    <t>Pravý břeh celkem</t>
  </si>
  <si>
    <t>Opevnění svahů celkem</t>
  </si>
  <si>
    <t>15*4</t>
  </si>
  <si>
    <t>2.16.1A</t>
  </si>
  <si>
    <t>Těžký kamenný zához 80-200 kg - 0pevnění svahů s urovnáním líce za vyklínováním</t>
  </si>
  <si>
    <t>Čerpání vody na dopravní výšku 10 m průměrný průtok do 500 l/min</t>
  </si>
  <si>
    <t>10 hodin denně po dobu 10 měsíců</t>
  </si>
  <si>
    <t>5 hodin denně po dobu zimní přestávky  ( 2. měsíce)</t>
  </si>
  <si>
    <t xml:space="preserve">Pohotovost čerpací soustavy pro dopravní výšku 10 m s uvažovaným </t>
  </si>
  <si>
    <t>průměrným přítokem 500 l/s</t>
  </si>
  <si>
    <t>2.26</t>
  </si>
  <si>
    <t>2 ks</t>
  </si>
  <si>
    <t>Informační cedule pro vodáky- zákaz splouvání jezu a možnost vystoupení na pravém břehu nad jezem.</t>
  </si>
  <si>
    <t>Vtok Dn 300</t>
  </si>
  <si>
    <t>Patky u závory</t>
  </si>
  <si>
    <t>Délka po obvodě</t>
  </si>
  <si>
    <t>Délka prahu</t>
  </si>
  <si>
    <t>2*1,5</t>
  </si>
  <si>
    <t>Kamenný obklad schodiště pro vodáky výšky 16 mm</t>
  </si>
  <si>
    <t>TKZ s prolitím betonem 80-200 kg celkem</t>
  </si>
  <si>
    <t>Úprava pláně bez zhutnění</t>
  </si>
  <si>
    <t>(3+1)/2*3</t>
  </si>
  <si>
    <t>Součet</t>
  </si>
  <si>
    <t>Odtok</t>
  </si>
  <si>
    <t>Obetonování potrubí</t>
  </si>
  <si>
    <t>Délka obetonování</t>
  </si>
  <si>
    <t>vtok</t>
  </si>
  <si>
    <t>Stěny  a dno</t>
  </si>
  <si>
    <t>Střední délka po obvodě</t>
  </si>
  <si>
    <t>Délka konstrukce</t>
  </si>
  <si>
    <t>Plocha sítě celkem</t>
  </si>
  <si>
    <t>Hmotnost kg/m</t>
  </si>
  <si>
    <t>Hmotnost celkem</t>
  </si>
  <si>
    <t>čelní plocha 2*0,25*3</t>
  </si>
  <si>
    <r>
      <t xml:space="preserve">Těžký kamenný zához 80-200 kg - 0pevnění  dna koryta - patky                                                                                            </t>
    </r>
    <r>
      <rPr>
        <b/>
        <sz val="10"/>
        <rFont val="Arial"/>
        <family val="2"/>
        <charset val="238"/>
      </rPr>
      <t>Zpětné využití</t>
    </r>
    <r>
      <rPr>
        <sz val="10"/>
        <rFont val="Arial"/>
        <family val="2"/>
        <charset val="238"/>
      </rPr>
      <t xml:space="preserve"> kamenů z bouraného stávajícího opevnění           SO 01 - 79 m3                                                                              SO 02   73 m3                                                                                </t>
    </r>
    <r>
      <rPr>
        <u/>
        <sz val="10"/>
        <rFont val="Arial"/>
        <family val="2"/>
        <charset val="238"/>
      </rPr>
      <t xml:space="preserve">SO  05  819 m3                                                                               </t>
    </r>
    <r>
      <rPr>
        <sz val="10"/>
        <rFont val="Arial"/>
        <family val="2"/>
        <charset val="238"/>
      </rPr>
      <t xml:space="preserve">Celkem        971 m3                                                     </t>
    </r>
  </si>
  <si>
    <r>
      <t xml:space="preserve">Demontáž štětové stěny - vytažení, </t>
    </r>
    <r>
      <rPr>
        <b/>
        <sz val="10"/>
        <rFont val="Calibri"/>
        <family val="2"/>
        <charset val="238"/>
        <scheme val="minor"/>
      </rPr>
      <t xml:space="preserve">znovu použité </t>
    </r>
    <r>
      <rPr>
        <sz val="10"/>
        <rFont val="Calibri"/>
        <family val="2"/>
        <charset val="238"/>
        <scheme val="minor"/>
      </rPr>
      <t>- Plocha = 464 m2</t>
    </r>
  </si>
  <si>
    <t>Výkop ro potrubí dn 300 - varianta s šachtou</t>
  </si>
  <si>
    <t>Celkem v pažené rýze</t>
  </si>
  <si>
    <t>patky oplocení</t>
  </si>
  <si>
    <t>Výkop plot celkem</t>
  </si>
  <si>
    <t>Zásyp kopaných sond</t>
  </si>
  <si>
    <t>Koryto - dtto ohumusování svahů</t>
  </si>
  <si>
    <t>Přísyp - zához z kamene 80-200 kg</t>
  </si>
  <si>
    <t>Odtok od odpadního potrubí DN 400 - LB zeď</t>
  </si>
  <si>
    <t>Kolem odběrného potrubí</t>
  </si>
  <si>
    <t>Za štětovou stěnou - v paženém výkopu</t>
  </si>
  <si>
    <t>průměr</t>
  </si>
  <si>
    <t>LB u mostu</t>
  </si>
  <si>
    <t>Délka líce A (zemina)</t>
  </si>
  <si>
    <t>Délka v Obluku</t>
  </si>
  <si>
    <t>šachtička ve zdi</t>
  </si>
  <si>
    <r>
      <t>v průměru 4 ks matrice na 1 blok</t>
    </r>
    <r>
      <rPr>
        <sz val="11"/>
        <rFont val="Calibri"/>
        <family val="2"/>
        <charset val="238"/>
      </rPr>
      <t>=&gt;</t>
    </r>
  </si>
  <si>
    <t>POZNÁMKA:</t>
  </si>
  <si>
    <t>Ostranění dnového materiálu vtl. 300 mm pod novou konstrukcí jezu je započteno v SO 01  Jez</t>
  </si>
  <si>
    <t>Beton do trvalých štětovnic</t>
  </si>
  <si>
    <t>2.15.1</t>
  </si>
  <si>
    <t>Zpevněné plochy</t>
  </si>
  <si>
    <t>2.15.2 Základové spáry</t>
  </si>
  <si>
    <t>2.15.2</t>
  </si>
  <si>
    <t>Úprava pláně se zhutnění - základobvé spary</t>
  </si>
  <si>
    <t>Opěrná LB zeď</t>
  </si>
  <si>
    <t>1,5*7,5</t>
  </si>
  <si>
    <t>Základové spáry celkem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</si>
  <si>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</si>
  <si>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t>Datum : Červen 2022</t>
  </si>
  <si>
    <t>Do výpočtu je zahrnuto odstranění stávajících pařezů nacházejících se v obvodu staveniště. Vytěžené pařezy budou odvezeny na skládku.</t>
  </si>
  <si>
    <r>
      <t xml:space="preserve">Vázaná výztuž do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  <charset val="238"/>
      </rPr>
      <t>12 mm</t>
    </r>
  </si>
  <si>
    <r>
      <t xml:space="preserve">Vázaná výztuž nad </t>
    </r>
    <r>
      <rPr>
        <sz val="10"/>
        <rFont val="Symbol"/>
        <family val="1"/>
        <charset val="2"/>
      </rPr>
      <t>f</t>
    </r>
    <r>
      <rPr>
        <sz val="10"/>
        <rFont val="Arial CE"/>
        <charset val="238"/>
      </rPr>
      <t xml:space="preserve"> 12 mm</t>
    </r>
  </si>
  <si>
    <t>6.3</t>
  </si>
  <si>
    <t>30% přesah</t>
  </si>
  <si>
    <t>Svařované sítě  KARI 6x100x100</t>
  </si>
  <si>
    <t>Svařovaná síť 100CX100X6</t>
  </si>
  <si>
    <t>2/Z</t>
  </si>
  <si>
    <t xml:space="preserve">Výkop v nepažené jámě ,Výpočet viz kubaturový list 1_Bourání a výkop,  </t>
  </si>
  <si>
    <t>v SO 05 je zahrnuto veškeré kácení stromů nad 100 mm</t>
  </si>
  <si>
    <r>
      <t xml:space="preserve">Kácení stromů </t>
    </r>
    <r>
      <rPr>
        <b/>
        <sz val="11"/>
        <rFont val="Calibri"/>
        <family val="2"/>
        <charset val="238"/>
        <scheme val="minor"/>
      </rPr>
      <t>listnatých a jehličnátých</t>
    </r>
    <r>
      <rPr>
        <sz val="11"/>
        <rFont val="Calibri"/>
        <family val="2"/>
        <charset val="238"/>
        <scheme val="minor"/>
      </rPr>
      <t xml:space="preserve"> celkem 91 ks z toho</t>
    </r>
  </si>
  <si>
    <t>Kácení stromů listnatých a jehličnatých včetně odstranění kořenového systému v rozsahu dle Situace kácení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</si>
</sst>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K_č_-;\-* #,##0.00\ _K_č_-;_-* &quot;-&quot;??\ _K_č_-;_-@_-"/>
    <numFmt numFmtId="165" formatCode="0.0"/>
    <numFmt numFmtId="166" formatCode="0.00000"/>
    <numFmt numFmtId="167" formatCode="0.000"/>
  </numFmts>
  <fonts count="5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name val="Arial CE"/>
      <charset val="238"/>
    </font>
    <font>
      <b/>
      <sz val="11"/>
      <name val="Arial CE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Arial CE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Arial CE"/>
      <charset val="238"/>
    </font>
    <font>
      <sz val="9"/>
      <color theme="1"/>
      <name val="Arial CE"/>
      <charset val="238"/>
    </font>
    <font>
      <sz val="11"/>
      <color theme="8"/>
      <name val="Calibri"/>
      <family val="2"/>
      <charset val="238"/>
      <scheme val="minor"/>
    </font>
    <font>
      <b/>
      <sz val="10"/>
      <color theme="8"/>
      <name val="Arial"/>
      <family val="2"/>
      <charset val="238"/>
    </font>
    <font>
      <sz val="11"/>
      <name val="Calibri"/>
      <family val="2"/>
      <charset val="238"/>
    </font>
    <font>
      <sz val="11"/>
      <color rgb="FF4BACC6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0"/>
      <color rgb="FF00B0F0"/>
      <name val="Arial"/>
      <family val="2"/>
      <charset val="238"/>
    </font>
    <font>
      <sz val="10"/>
      <color theme="1"/>
      <name val="Calibri"/>
      <family val="2"/>
      <charset val="238"/>
    </font>
    <font>
      <b/>
      <sz val="11"/>
      <color rgb="FF00B0F0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sz val="8"/>
      <color rgb="FF00B0F0"/>
      <name val="Arial"/>
      <family val="2"/>
      <charset val="238"/>
    </font>
    <font>
      <b/>
      <sz val="8"/>
      <color rgb="FF00B0F0"/>
      <name val="Arial"/>
      <family val="2"/>
      <charset val="238"/>
    </font>
    <font>
      <b/>
      <sz val="9"/>
      <color rgb="FF00B0F0"/>
      <name val="Arial"/>
      <family val="2"/>
      <charset val="238"/>
    </font>
    <font>
      <sz val="9"/>
      <color rgb="FF00B0F0"/>
      <name val="Arial"/>
      <family val="2"/>
      <charset val="238"/>
    </font>
    <font>
      <b/>
      <sz val="10"/>
      <color rgb="FF00B0F0"/>
      <name val="Arial"/>
      <family val="2"/>
      <charset val="238"/>
    </font>
    <font>
      <b/>
      <sz val="10"/>
      <color rgb="FF00B0F0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rgb="FF0070C0"/>
      <name val="Arial"/>
      <family val="2"/>
      <charset val="238"/>
    </font>
    <font>
      <sz val="14.65"/>
      <name val="Calibri"/>
      <family val="2"/>
      <charset val="238"/>
    </font>
    <font>
      <sz val="10"/>
      <name val="Calibri"/>
      <family val="2"/>
      <charset val="238"/>
    </font>
    <font>
      <b/>
      <sz val="11"/>
      <name val="Arial"/>
      <family val="2"/>
      <charset val="238"/>
    </font>
    <font>
      <sz val="1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Arial CE"/>
      <charset val="238"/>
    </font>
    <font>
      <sz val="11"/>
      <name val="Arial"/>
      <family val="2"/>
      <charset val="238"/>
    </font>
    <font>
      <u/>
      <sz val="10"/>
      <name val="Arial"/>
      <family val="2"/>
      <charset val="238"/>
    </font>
    <font>
      <sz val="10"/>
      <name val="Arial CE"/>
      <charset val="238"/>
    </font>
    <font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773"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Border="1"/>
    <xf numFmtId="0" fontId="8" fillId="0" borderId="0" xfId="0" applyFont="1"/>
    <xf numFmtId="0" fontId="6" fillId="0" borderId="0" xfId="0" applyFont="1"/>
    <xf numFmtId="2" fontId="10" fillId="0" borderId="33" xfId="0" applyNumberFormat="1" applyFont="1" applyBorder="1"/>
    <xf numFmtId="2" fontId="10" fillId="0" borderId="33" xfId="0" applyNumberFormat="1" applyFont="1" applyBorder="1" applyAlignment="1">
      <alignment horizontal="center" vertical="center"/>
    </xf>
    <xf numFmtId="2" fontId="10" fillId="0" borderId="34" xfId="0" applyNumberFormat="1" applyFont="1" applyBorder="1"/>
    <xf numFmtId="0" fontId="8" fillId="0" borderId="0" xfId="0" applyFont="1" applyBorder="1"/>
    <xf numFmtId="49" fontId="10" fillId="0" borderId="0" xfId="0" applyNumberFormat="1" applyFont="1" applyBorder="1" applyAlignment="1">
      <alignment horizontal="right"/>
    </xf>
    <xf numFmtId="0" fontId="6" fillId="0" borderId="0" xfId="0" applyFont="1" applyBorder="1"/>
    <xf numFmtId="2" fontId="10" fillId="0" borderId="0" xfId="0" applyNumberFormat="1" applyFont="1" applyBorder="1"/>
    <xf numFmtId="2" fontId="10" fillId="0" borderId="0" xfId="0" applyNumberFormat="1" applyFont="1" applyBorder="1" applyAlignment="1">
      <alignment horizontal="center" vertical="center"/>
    </xf>
    <xf numFmtId="0" fontId="15" fillId="0" borderId="0" xfId="0" applyFont="1" applyBorder="1"/>
    <xf numFmtId="2" fontId="12" fillId="0" borderId="0" xfId="0" applyNumberFormat="1" applyFont="1" applyBorder="1"/>
    <xf numFmtId="2" fontId="12" fillId="0" borderId="0" xfId="0" applyNumberFormat="1" applyFont="1" applyBorder="1" applyAlignment="1">
      <alignment horizontal="center" vertical="center"/>
    </xf>
    <xf numFmtId="0" fontId="15" fillId="0" borderId="26" xfId="0" applyFont="1" applyBorder="1"/>
    <xf numFmtId="2" fontId="12" fillId="0" borderId="26" xfId="0" applyNumberFormat="1" applyFont="1" applyBorder="1"/>
    <xf numFmtId="2" fontId="12" fillId="0" borderId="26" xfId="0" applyNumberFormat="1" applyFont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/>
    <xf numFmtId="0" fontId="0" fillId="0" borderId="0" xfId="0" applyFont="1" applyAlignment="1">
      <alignment horizontal="right"/>
    </xf>
    <xf numFmtId="0" fontId="16" fillId="0" borderId="0" xfId="0" applyFont="1"/>
    <xf numFmtId="2" fontId="9" fillId="0" borderId="0" xfId="0" applyNumberFormat="1" applyFont="1" applyBorder="1"/>
    <xf numFmtId="165" fontId="12" fillId="0" borderId="0" xfId="0" applyNumberFormat="1" applyFont="1" applyBorder="1"/>
    <xf numFmtId="0" fontId="12" fillId="0" borderId="0" xfId="0" applyFont="1" applyBorder="1"/>
    <xf numFmtId="0" fontId="10" fillId="0" borderId="0" xfId="0" applyFont="1" applyBorder="1"/>
    <xf numFmtId="0" fontId="12" fillId="0" borderId="0" xfId="0" applyFont="1"/>
    <xf numFmtId="0" fontId="10" fillId="0" borderId="26" xfId="0" applyFont="1" applyBorder="1"/>
    <xf numFmtId="0" fontId="12" fillId="0" borderId="26" xfId="0" applyFont="1" applyBorder="1"/>
    <xf numFmtId="49" fontId="12" fillId="0" borderId="0" xfId="0" applyNumberFormat="1" applyFont="1" applyBorder="1"/>
    <xf numFmtId="49" fontId="12" fillId="0" borderId="0" xfId="0" applyNumberFormat="1" applyFont="1"/>
    <xf numFmtId="49" fontId="12" fillId="0" borderId="26" xfId="0" applyNumberFormat="1" applyFont="1" applyBorder="1"/>
    <xf numFmtId="49" fontId="10" fillId="0" borderId="32" xfId="0" applyNumberFormat="1" applyFont="1" applyBorder="1"/>
    <xf numFmtId="0" fontId="10" fillId="0" borderId="33" xfId="0" applyFont="1" applyBorder="1"/>
    <xf numFmtId="0" fontId="10" fillId="0" borderId="32" xfId="0" applyFont="1" applyBorder="1"/>
    <xf numFmtId="49" fontId="10" fillId="0" borderId="0" xfId="0" applyNumberFormat="1" applyFont="1" applyFill="1" applyBorder="1" applyAlignment="1">
      <alignment horizontal="left"/>
    </xf>
    <xf numFmtId="0" fontId="15" fillId="0" borderId="0" xfId="0" applyFont="1"/>
    <xf numFmtId="2" fontId="12" fillId="0" borderId="0" xfId="0" applyNumberFormat="1" applyFont="1"/>
    <xf numFmtId="2" fontId="15" fillId="0" borderId="0" xfId="0" applyNumberFormat="1" applyFont="1"/>
    <xf numFmtId="0" fontId="15" fillId="0" borderId="0" xfId="0" applyFont="1" applyBorder="1" applyAlignment="1">
      <alignment horizontal="right"/>
    </xf>
    <xf numFmtId="1" fontId="0" fillId="0" borderId="0" xfId="0" applyNumberFormat="1"/>
    <xf numFmtId="1" fontId="6" fillId="0" borderId="0" xfId="0" applyNumberFormat="1" applyFont="1"/>
    <xf numFmtId="49" fontId="0" fillId="0" borderId="0" xfId="0" applyNumberFormat="1" applyFont="1" applyBorder="1" applyAlignment="1">
      <alignment horizontal="right"/>
    </xf>
    <xf numFmtId="0" fontId="10" fillId="0" borderId="3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0" fontId="6" fillId="0" borderId="0" xfId="0" applyFont="1" applyBorder="1" applyAlignment="1">
      <alignment wrapText="1"/>
    </xf>
    <xf numFmtId="0" fontId="17" fillId="0" borderId="0" xfId="0" applyFont="1" applyAlignment="1">
      <alignment horizontal="left" vertical="center"/>
    </xf>
    <xf numFmtId="2" fontId="7" fillId="0" borderId="0" xfId="0" applyNumberFormat="1" applyFont="1" applyBorder="1"/>
    <xf numFmtId="2" fontId="7" fillId="0" borderId="26" xfId="0" applyNumberFormat="1" applyFont="1" applyBorder="1"/>
    <xf numFmtId="0" fontId="6" fillId="0" borderId="2" xfId="0" applyFont="1" applyFill="1" applyBorder="1"/>
    <xf numFmtId="0" fontId="5" fillId="0" borderId="2" xfId="0" applyFont="1" applyFill="1" applyBorder="1"/>
    <xf numFmtId="2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/>
    </xf>
    <xf numFmtId="2" fontId="7" fillId="0" borderId="26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23" fillId="0" borderId="0" xfId="0" applyFont="1" applyAlignment="1">
      <alignment horizontal="left" vertical="center"/>
    </xf>
    <xf numFmtId="1" fontId="24" fillId="0" borderId="0" xfId="0" applyNumberFormat="1" applyFont="1"/>
    <xf numFmtId="0" fontId="24" fillId="0" borderId="0" xfId="0" applyFont="1" applyAlignment="1">
      <alignment horizontal="left" vertical="center"/>
    </xf>
    <xf numFmtId="0" fontId="8" fillId="0" borderId="0" xfId="0" applyFont="1" applyAlignment="1">
      <alignment horizontal="right"/>
    </xf>
    <xf numFmtId="0" fontId="7" fillId="0" borderId="0" xfId="0" applyFont="1" applyBorder="1"/>
    <xf numFmtId="1" fontId="12" fillId="0" borderId="0" xfId="0" applyNumberFormat="1" applyFont="1"/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center"/>
    </xf>
    <xf numFmtId="1" fontId="25" fillId="0" borderId="0" xfId="0" applyNumberFormat="1" applyFont="1" applyAlignment="1">
      <alignment horizontal="center" vertical="top" wrapText="1"/>
    </xf>
    <xf numFmtId="1" fontId="0" fillId="0" borderId="0" xfId="0" applyNumberFormat="1" applyFont="1"/>
    <xf numFmtId="0" fontId="16" fillId="0" borderId="0" xfId="0" applyFont="1" applyFill="1" applyBorder="1" applyAlignment="1">
      <alignment horizontal="right" vertical="center"/>
    </xf>
    <xf numFmtId="49" fontId="0" fillId="0" borderId="0" xfId="0" applyNumberFormat="1" applyFont="1" applyAlignment="1">
      <alignment horizontal="right"/>
    </xf>
    <xf numFmtId="2" fontId="9" fillId="0" borderId="0" xfId="0" applyNumberFormat="1" applyFont="1" applyBorder="1" applyAlignment="1">
      <alignment horizontal="left" vertical="center"/>
    </xf>
    <xf numFmtId="0" fontId="27" fillId="0" borderId="0" xfId="0" applyFont="1" applyFill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0" fontId="27" fillId="0" borderId="15" xfId="0" applyFont="1" applyFill="1" applyBorder="1"/>
    <xf numFmtId="0" fontId="27" fillId="0" borderId="17" xfId="0" applyFont="1" applyFill="1" applyBorder="1"/>
    <xf numFmtId="0" fontId="27" fillId="0" borderId="0" xfId="0" applyFont="1" applyFill="1" applyBorder="1"/>
    <xf numFmtId="0" fontId="28" fillId="0" borderId="0" xfId="0" applyFont="1" applyFill="1"/>
    <xf numFmtId="0" fontId="6" fillId="0" borderId="0" xfId="0" applyFont="1" applyFill="1"/>
    <xf numFmtId="49" fontId="6" fillId="0" borderId="0" xfId="0" applyNumberFormat="1" applyFont="1" applyBorder="1" applyAlignment="1">
      <alignment horizontal="right"/>
    </xf>
    <xf numFmtId="0" fontId="6" fillId="0" borderId="0" xfId="0" applyFont="1" applyFill="1" applyBorder="1"/>
    <xf numFmtId="49" fontId="6" fillId="0" borderId="0" xfId="0" applyNumberFormat="1" applyFont="1" applyAlignment="1">
      <alignment horizontal="right"/>
    </xf>
    <xf numFmtId="0" fontId="10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6" fillId="0" borderId="26" xfId="0" applyFont="1" applyFill="1" applyBorder="1"/>
    <xf numFmtId="0" fontId="10" fillId="0" borderId="0" xfId="0" applyFont="1" applyFill="1" applyAlignment="1">
      <alignment horizontal="left" vertical="center"/>
    </xf>
    <xf numFmtId="0" fontId="7" fillId="0" borderId="0" xfId="0" applyFont="1" applyFill="1"/>
    <xf numFmtId="0" fontId="10" fillId="0" borderId="26" xfId="0" applyFont="1" applyFill="1" applyBorder="1"/>
    <xf numFmtId="2" fontId="6" fillId="0" borderId="26" xfId="0" applyNumberFormat="1" applyFont="1" applyFill="1" applyBorder="1"/>
    <xf numFmtId="1" fontId="6" fillId="0" borderId="0" xfId="0" applyNumberFormat="1" applyFont="1" applyFill="1"/>
    <xf numFmtId="0" fontId="10" fillId="0" borderId="0" xfId="0" applyFont="1" applyFill="1"/>
    <xf numFmtId="0" fontId="6" fillId="0" borderId="0" xfId="0" applyFont="1" applyFill="1" applyBorder="1" applyAlignment="1"/>
    <xf numFmtId="0" fontId="5" fillId="0" borderId="0" xfId="0" applyFont="1" applyFill="1"/>
    <xf numFmtId="0" fontId="30" fillId="0" borderId="0" xfId="0" applyFont="1"/>
    <xf numFmtId="165" fontId="6" fillId="0" borderId="0" xfId="0" applyNumberFormat="1" applyFont="1" applyFill="1" applyBorder="1"/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vertical="top"/>
    </xf>
    <xf numFmtId="49" fontId="6" fillId="0" borderId="0" xfId="0" applyNumberFormat="1" applyFont="1" applyAlignment="1">
      <alignment horizontal="right" wrapText="1"/>
    </xf>
    <xf numFmtId="0" fontId="5" fillId="0" borderId="0" xfId="0" applyFont="1" applyFill="1" applyBorder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top"/>
    </xf>
    <xf numFmtId="0" fontId="6" fillId="0" borderId="0" xfId="0" applyFont="1" applyFill="1" applyBorder="1" applyAlignment="1">
      <alignment wrapText="1"/>
    </xf>
    <xf numFmtId="49" fontId="6" fillId="0" borderId="0" xfId="0" applyNumberFormat="1" applyFont="1" applyFill="1"/>
    <xf numFmtId="0" fontId="6" fillId="0" borderId="0" xfId="0" applyFont="1" applyFill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 vertical="center"/>
    </xf>
    <xf numFmtId="0" fontId="6" fillId="0" borderId="14" xfId="0" applyFont="1" applyFill="1" applyBorder="1"/>
    <xf numFmtId="0" fontId="6" fillId="0" borderId="21" xfId="0" applyFont="1" applyFill="1" applyBorder="1"/>
    <xf numFmtId="0" fontId="6" fillId="0" borderId="0" xfId="0" applyFont="1" applyFill="1" applyBorder="1" applyAlignment="1">
      <alignment horizontal="center"/>
    </xf>
    <xf numFmtId="0" fontId="7" fillId="0" borderId="26" xfId="0" applyFont="1" applyFill="1" applyBorder="1" applyAlignment="1"/>
    <xf numFmtId="0" fontId="6" fillId="0" borderId="22" xfId="0" applyFont="1" applyFill="1" applyBorder="1"/>
    <xf numFmtId="0" fontId="6" fillId="0" borderId="24" xfId="0" applyFont="1" applyFill="1" applyBorder="1"/>
    <xf numFmtId="0" fontId="31" fillId="0" borderId="0" xfId="0" applyFont="1" applyBorder="1"/>
    <xf numFmtId="1" fontId="6" fillId="0" borderId="0" xfId="0" applyNumberFormat="1" applyFont="1" applyBorder="1"/>
    <xf numFmtId="0" fontId="17" fillId="0" borderId="26" xfId="0" applyFont="1" applyBorder="1" applyAlignment="1">
      <alignment horizontal="left" vertical="center"/>
    </xf>
    <xf numFmtId="2" fontId="6" fillId="0" borderId="26" xfId="0" applyNumberFormat="1" applyFont="1" applyBorder="1"/>
    <xf numFmtId="0" fontId="6" fillId="0" borderId="26" xfId="0" applyFont="1" applyBorder="1"/>
    <xf numFmtId="0" fontId="31" fillId="0" borderId="0" xfId="0" applyFont="1" applyAlignment="1">
      <alignment horizontal="left"/>
    </xf>
    <xf numFmtId="0" fontId="31" fillId="0" borderId="0" xfId="0" applyFont="1"/>
    <xf numFmtId="0" fontId="34" fillId="0" borderId="0" xfId="0" applyFont="1"/>
    <xf numFmtId="49" fontId="31" fillId="0" borderId="0" xfId="0" applyNumberFormat="1" applyFont="1" applyFill="1" applyBorder="1" applyAlignment="1">
      <alignment horizontal="right" vertical="center"/>
    </xf>
    <xf numFmtId="0" fontId="31" fillId="0" borderId="26" xfId="0" applyFont="1" applyBorder="1"/>
    <xf numFmtId="0" fontId="31" fillId="0" borderId="0" xfId="0" applyFont="1" applyFill="1" applyBorder="1"/>
    <xf numFmtId="49" fontId="31" fillId="0" borderId="0" xfId="0" applyNumberFormat="1" applyFont="1" applyFill="1" applyBorder="1" applyAlignment="1">
      <alignment vertical="center"/>
    </xf>
    <xf numFmtId="0" fontId="31" fillId="0" borderId="0" xfId="0" applyFont="1" applyAlignment="1">
      <alignment horizontal="right"/>
    </xf>
    <xf numFmtId="0" fontId="32" fillId="0" borderId="0" xfId="0" applyFont="1"/>
    <xf numFmtId="0" fontId="35" fillId="0" borderId="0" xfId="0" applyFont="1" applyBorder="1"/>
    <xf numFmtId="49" fontId="31" fillId="0" borderId="0" xfId="0" applyNumberFormat="1" applyFont="1" applyBorder="1"/>
    <xf numFmtId="2" fontId="35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9" fontId="35" fillId="0" borderId="0" xfId="0" applyNumberFormat="1" applyFont="1" applyAlignment="1">
      <alignment horizontal="left" vertical="center"/>
    </xf>
    <xf numFmtId="1" fontId="35" fillId="0" borderId="0" xfId="0" applyNumberFormat="1" applyFont="1" applyAlignment="1">
      <alignment horizontal="left" vertical="center"/>
    </xf>
    <xf numFmtId="10" fontId="35" fillId="0" borderId="0" xfId="0" applyNumberFormat="1" applyFont="1" applyAlignment="1">
      <alignment horizontal="left" vertical="center"/>
    </xf>
    <xf numFmtId="49" fontId="31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center" vertical="top" wrapText="1"/>
    </xf>
    <xf numFmtId="0" fontId="38" fillId="0" borderId="0" xfId="0" applyFont="1" applyBorder="1" applyAlignment="1">
      <alignment horizontal="center"/>
    </xf>
    <xf numFmtId="0" fontId="39" fillId="0" borderId="0" xfId="0" applyFont="1" applyAlignment="1">
      <alignment horizontal="center"/>
    </xf>
    <xf numFmtId="2" fontId="38" fillId="0" borderId="0" xfId="0" applyNumberFormat="1" applyFont="1" applyBorder="1" applyAlignment="1">
      <alignment horizontal="center"/>
    </xf>
    <xf numFmtId="0" fontId="39" fillId="0" borderId="0" xfId="0" applyFont="1"/>
    <xf numFmtId="0" fontId="36" fillId="0" borderId="33" xfId="0" applyFont="1" applyBorder="1" applyAlignment="1">
      <alignment horizontal="center" vertical="center"/>
    </xf>
    <xf numFmtId="2" fontId="36" fillId="0" borderId="33" xfId="0" applyNumberFormat="1" applyFont="1" applyBorder="1" applyAlignment="1">
      <alignment horizontal="center" vertical="center"/>
    </xf>
    <xf numFmtId="2" fontId="36" fillId="0" borderId="0" xfId="0" applyNumberFormat="1" applyFont="1" applyBorder="1"/>
    <xf numFmtId="2" fontId="36" fillId="0" borderId="0" xfId="0" applyNumberFormat="1" applyFont="1" applyBorder="1" applyAlignment="1">
      <alignment horizontal="center" vertical="center"/>
    </xf>
    <xf numFmtId="2" fontId="40" fillId="0" borderId="33" xfId="0" applyNumberFormat="1" applyFont="1" applyBorder="1" applyAlignment="1">
      <alignment horizontal="center" vertical="center"/>
    </xf>
    <xf numFmtId="0" fontId="32" fillId="0" borderId="0" xfId="0" applyFont="1" applyBorder="1" applyAlignment="1">
      <alignment horizontal="left"/>
    </xf>
    <xf numFmtId="2" fontId="32" fillId="0" borderId="0" xfId="0" applyNumberFormat="1" applyFont="1" applyBorder="1"/>
    <xf numFmtId="2" fontId="32" fillId="0" borderId="0" xfId="0" applyNumberFormat="1" applyFont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2" fontId="36" fillId="0" borderId="33" xfId="0" applyNumberFormat="1" applyFont="1" applyBorder="1"/>
    <xf numFmtId="0" fontId="31" fillId="0" borderId="42" xfId="0" applyFont="1" applyBorder="1"/>
    <xf numFmtId="0" fontId="41" fillId="0" borderId="0" xfId="0" applyFont="1" applyBorder="1"/>
    <xf numFmtId="2" fontId="40" fillId="0" borderId="0" xfId="0" applyNumberFormat="1" applyFont="1" applyBorder="1"/>
    <xf numFmtId="2" fontId="40" fillId="0" borderId="0" xfId="0" applyNumberFormat="1" applyFont="1" applyBorder="1" applyAlignment="1">
      <alignment horizontal="center" vertical="center"/>
    </xf>
    <xf numFmtId="2" fontId="37" fillId="0" borderId="0" xfId="0" applyNumberFormat="1" applyFont="1" applyBorder="1" applyAlignment="1">
      <alignment horizontal="center" vertical="center"/>
    </xf>
    <xf numFmtId="2" fontId="37" fillId="0" borderId="0" xfId="0" applyNumberFormat="1" applyFont="1" applyBorder="1"/>
    <xf numFmtId="0" fontId="32" fillId="0" borderId="0" xfId="0" applyFont="1" applyBorder="1" applyAlignment="1">
      <alignment horizontal="right"/>
    </xf>
    <xf numFmtId="0" fontId="31" fillId="0" borderId="42" xfId="0" applyFont="1" applyBorder="1" applyAlignment="1">
      <alignment horizontal="left"/>
    </xf>
    <xf numFmtId="49" fontId="40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left"/>
    </xf>
    <xf numFmtId="0" fontId="36" fillId="0" borderId="0" xfId="0" applyFont="1" applyBorder="1" applyAlignment="1">
      <alignment horizontal="center"/>
    </xf>
    <xf numFmtId="2" fontId="36" fillId="0" borderId="0" xfId="0" applyNumberFormat="1" applyFont="1" applyBorder="1" applyAlignment="1">
      <alignment horizontal="center"/>
    </xf>
    <xf numFmtId="0" fontId="36" fillId="0" borderId="0" xfId="0" applyFont="1" applyBorder="1" applyAlignment="1">
      <alignment horizontal="center" vertical="center"/>
    </xf>
    <xf numFmtId="2" fontId="36" fillId="0" borderId="0" xfId="0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right"/>
    </xf>
    <xf numFmtId="0" fontId="34" fillId="0" borderId="0" xfId="0" applyFont="1" applyBorder="1"/>
    <xf numFmtId="49" fontId="37" fillId="0" borderId="0" xfId="0" applyNumberFormat="1" applyFont="1" applyBorder="1" applyAlignment="1">
      <alignment horizontal="right"/>
    </xf>
    <xf numFmtId="49" fontId="36" fillId="0" borderId="0" xfId="0" applyNumberFormat="1" applyFont="1" applyBorder="1" applyAlignment="1">
      <alignment horizontal="center" vertical="center"/>
    </xf>
    <xf numFmtId="49" fontId="36" fillId="0" borderId="0" xfId="0" applyNumberFormat="1" applyFont="1" applyBorder="1" applyAlignment="1">
      <alignment horizontal="right"/>
    </xf>
    <xf numFmtId="0" fontId="31" fillId="0" borderId="0" xfId="0" applyFont="1" applyBorder="1" applyAlignment="1">
      <alignment horizontal="left" vertical="top"/>
    </xf>
    <xf numFmtId="2" fontId="36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horizontal="left"/>
    </xf>
    <xf numFmtId="49" fontId="37" fillId="0" borderId="0" xfId="0" applyNumberFormat="1" applyFont="1" applyBorder="1"/>
    <xf numFmtId="49" fontId="32" fillId="0" borderId="0" xfId="0" applyNumberFormat="1" applyFont="1" applyBorder="1" applyAlignment="1">
      <alignment horizontal="right"/>
    </xf>
    <xf numFmtId="49" fontId="32" fillId="0" borderId="0" xfId="0" applyNumberFormat="1" applyFont="1" applyBorder="1" applyAlignment="1">
      <alignment horizontal="left"/>
    </xf>
    <xf numFmtId="0" fontId="35" fillId="0" borderId="0" xfId="0" applyFont="1"/>
    <xf numFmtId="165" fontId="40" fillId="0" borderId="0" xfId="0" applyNumberFormat="1" applyFont="1" applyBorder="1" applyAlignment="1">
      <alignment horizontal="center" vertical="center"/>
    </xf>
    <xf numFmtId="0" fontId="32" fillId="0" borderId="0" xfId="0" applyFont="1" applyBorder="1"/>
    <xf numFmtId="49" fontId="32" fillId="0" borderId="0" xfId="0" applyNumberFormat="1" applyFont="1" applyBorder="1" applyAlignment="1">
      <alignment horizontal="left" vertical="top"/>
    </xf>
    <xf numFmtId="0" fontId="31" fillId="0" borderId="0" xfId="0" applyFont="1" applyBorder="1" applyAlignment="1"/>
    <xf numFmtId="0" fontId="31" fillId="0" borderId="0" xfId="0" applyFont="1" applyBorder="1" applyAlignment="1">
      <alignment vertical="top"/>
    </xf>
    <xf numFmtId="0" fontId="40" fillId="0" borderId="0" xfId="0" applyFont="1" applyBorder="1"/>
    <xf numFmtId="49" fontId="34" fillId="0" borderId="0" xfId="0" applyNumberFormat="1" applyFont="1" applyBorder="1" applyAlignment="1">
      <alignment horizontal="right" vertical="center"/>
    </xf>
    <xf numFmtId="49" fontId="31" fillId="0" borderId="0" xfId="0" applyNumberFormat="1" applyFont="1" applyBorder="1" applyAlignment="1">
      <alignment horizontal="right" vertical="center"/>
    </xf>
    <xf numFmtId="0" fontId="41" fillId="0" borderId="0" xfId="0" applyFont="1"/>
    <xf numFmtId="49" fontId="42" fillId="0" borderId="0" xfId="0" applyNumberFormat="1" applyFont="1"/>
    <xf numFmtId="49" fontId="36" fillId="0" borderId="0" xfId="0" applyNumberFormat="1" applyFont="1" applyBorder="1"/>
    <xf numFmtId="0" fontId="36" fillId="0" borderId="0" xfId="0" applyFont="1" applyBorder="1"/>
    <xf numFmtId="49" fontId="34" fillId="0" borderId="0" xfId="0" applyNumberFormat="1" applyFont="1" applyBorder="1"/>
    <xf numFmtId="1" fontId="36" fillId="0" borderId="0" xfId="0" applyNumberFormat="1" applyFont="1" applyBorder="1"/>
    <xf numFmtId="49" fontId="32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right"/>
    </xf>
    <xf numFmtId="0" fontId="31" fillId="0" borderId="0" xfId="0" applyFont="1" applyBorder="1" applyAlignment="1">
      <alignment horizontal="right"/>
    </xf>
    <xf numFmtId="0" fontId="36" fillId="0" borderId="0" xfId="0" applyFont="1" applyBorder="1" applyAlignment="1">
      <alignment horizontal="right" vertical="center" wrapText="1"/>
    </xf>
    <xf numFmtId="0" fontId="36" fillId="0" borderId="0" xfId="0" applyFont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left"/>
    </xf>
    <xf numFmtId="49" fontId="7" fillId="0" borderId="0" xfId="0" applyNumberFormat="1" applyFont="1"/>
    <xf numFmtId="1" fontId="43" fillId="0" borderId="0" xfId="0" applyNumberFormat="1" applyFont="1"/>
    <xf numFmtId="0" fontId="43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6" fillId="0" borderId="0" xfId="0" applyFont="1" applyFill="1" applyBorder="1" applyAlignment="1">
      <alignment horizontal="right" vertical="center"/>
    </xf>
    <xf numFmtId="0" fontId="5" fillId="0" borderId="0" xfId="0" applyFont="1"/>
    <xf numFmtId="49" fontId="6" fillId="0" borderId="0" xfId="0" applyNumberFormat="1" applyFont="1" applyFill="1" applyBorder="1" applyAlignment="1">
      <alignment horizontal="right" vertical="center"/>
    </xf>
    <xf numFmtId="0" fontId="6" fillId="0" borderId="32" xfId="0" applyFont="1" applyFill="1" applyBorder="1"/>
    <xf numFmtId="0" fontId="6" fillId="0" borderId="33" xfId="0" applyFont="1" applyBorder="1"/>
    <xf numFmtId="0" fontId="6" fillId="0" borderId="34" xfId="0" applyFont="1" applyBorder="1"/>
    <xf numFmtId="49" fontId="6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/>
    <xf numFmtId="0" fontId="6" fillId="0" borderId="26" xfId="0" applyFont="1" applyBorder="1" applyAlignment="1">
      <alignment horizontal="left" vertical="top"/>
    </xf>
    <xf numFmtId="0" fontId="6" fillId="0" borderId="26" xfId="0" applyFont="1" applyBorder="1" applyAlignment="1">
      <alignment horizontal="center" vertical="center"/>
    </xf>
    <xf numFmtId="49" fontId="6" fillId="0" borderId="0" xfId="0" applyNumberFormat="1" applyFont="1"/>
    <xf numFmtId="49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/>
    <xf numFmtId="0" fontId="6" fillId="0" borderId="50" xfId="0" applyFont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5" fillId="0" borderId="42" xfId="0" applyFont="1" applyFill="1" applyBorder="1"/>
    <xf numFmtId="0" fontId="6" fillId="0" borderId="49" xfId="0" applyFont="1" applyFill="1" applyBorder="1"/>
    <xf numFmtId="49" fontId="6" fillId="0" borderId="0" xfId="0" applyNumberFormat="1" applyFont="1" applyFill="1" applyBorder="1"/>
    <xf numFmtId="49" fontId="6" fillId="0" borderId="49" xfId="0" applyNumberFormat="1" applyFont="1" applyFill="1" applyBorder="1"/>
    <xf numFmtId="49" fontId="6" fillId="0" borderId="42" xfId="0" applyNumberFormat="1" applyFont="1" applyFill="1" applyBorder="1"/>
    <xf numFmtId="0" fontId="6" fillId="0" borderId="27" xfId="0" applyFont="1" applyBorder="1"/>
    <xf numFmtId="0" fontId="6" fillId="0" borderId="42" xfId="0" applyFont="1" applyFill="1" applyBorder="1"/>
    <xf numFmtId="1" fontId="6" fillId="0" borderId="0" xfId="0" applyNumberFormat="1" applyFont="1" applyFill="1" applyBorder="1"/>
    <xf numFmtId="49" fontId="6" fillId="0" borderId="0" xfId="0" applyNumberFormat="1" applyFont="1" applyBorder="1"/>
    <xf numFmtId="49" fontId="6" fillId="0" borderId="26" xfId="0" applyNumberFormat="1" applyFont="1" applyFill="1" applyBorder="1"/>
    <xf numFmtId="1" fontId="6" fillId="0" borderId="26" xfId="0" applyNumberFormat="1" applyFont="1" applyBorder="1"/>
    <xf numFmtId="10" fontId="6" fillId="0" borderId="0" xfId="0" applyNumberFormat="1" applyFont="1" applyBorder="1"/>
    <xf numFmtId="0" fontId="7" fillId="0" borderId="0" xfId="0" applyFont="1" applyAlignment="1">
      <alignment horizontal="left" vertical="center"/>
    </xf>
    <xf numFmtId="0" fontId="15" fillId="0" borderId="26" xfId="0" applyFont="1" applyFill="1" applyBorder="1"/>
    <xf numFmtId="0" fontId="15" fillId="0" borderId="0" xfId="0" applyFont="1" applyFill="1" applyBorder="1"/>
    <xf numFmtId="0" fontId="46" fillId="0" borderId="12" xfId="0" applyFont="1" applyBorder="1" applyAlignment="1">
      <alignment horizontal="center"/>
    </xf>
    <xf numFmtId="0" fontId="46" fillId="0" borderId="12" xfId="0" applyFont="1" applyBorder="1"/>
    <xf numFmtId="0" fontId="45" fillId="0" borderId="12" xfId="0" applyFont="1" applyBorder="1" applyAlignment="1">
      <alignment horizontal="center"/>
    </xf>
    <xf numFmtId="2" fontId="45" fillId="0" borderId="12" xfId="0" applyNumberFormat="1" applyFont="1" applyBorder="1" applyAlignment="1">
      <alignment horizontal="center"/>
    </xf>
    <xf numFmtId="0" fontId="46" fillId="0" borderId="31" xfId="0" applyFont="1" applyBorder="1" applyAlignment="1">
      <alignment horizontal="right"/>
    </xf>
    <xf numFmtId="0" fontId="46" fillId="0" borderId="31" xfId="0" applyFont="1" applyBorder="1" applyAlignment="1">
      <alignment horizontal="center" vertical="center"/>
    </xf>
    <xf numFmtId="0" fontId="45" fillId="0" borderId="31" xfId="0" applyFont="1" applyBorder="1" applyAlignment="1">
      <alignment horizontal="center" vertical="center"/>
    </xf>
    <xf numFmtId="2" fontId="45" fillId="0" borderId="31" xfId="0" applyNumberFormat="1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horizontal="left"/>
    </xf>
    <xf numFmtId="0" fontId="46" fillId="0" borderId="32" xfId="0" applyFont="1" applyBorder="1" applyAlignment="1">
      <alignment horizontal="left"/>
    </xf>
    <xf numFmtId="0" fontId="46" fillId="0" borderId="33" xfId="0" applyFont="1" applyBorder="1" applyAlignment="1">
      <alignment horizontal="center" vertical="center"/>
    </xf>
    <xf numFmtId="0" fontId="46" fillId="0" borderId="33" xfId="0" applyFont="1" applyBorder="1" applyAlignment="1">
      <alignment horizontal="center"/>
    </xf>
    <xf numFmtId="0" fontId="45" fillId="0" borderId="33" xfId="0" applyFont="1" applyBorder="1" applyAlignment="1">
      <alignment horizontal="center" vertical="center"/>
    </xf>
    <xf numFmtId="2" fontId="45" fillId="0" borderId="8" xfId="0" applyNumberFormat="1" applyFont="1" applyBorder="1" applyAlignment="1">
      <alignment horizontal="center" vertical="center"/>
    </xf>
    <xf numFmtId="0" fontId="5" fillId="0" borderId="0" xfId="0" applyFont="1" applyBorder="1"/>
    <xf numFmtId="2" fontId="45" fillId="0" borderId="8" xfId="0" applyNumberFormat="1" applyFont="1" applyBorder="1" applyAlignment="1">
      <alignment vertical="center"/>
    </xf>
    <xf numFmtId="0" fontId="5" fillId="0" borderId="33" xfId="0" applyFont="1" applyBorder="1"/>
    <xf numFmtId="1" fontId="40" fillId="0" borderId="0" xfId="0" applyNumberFormat="1" applyFont="1" applyBorder="1"/>
    <xf numFmtId="2" fontId="45" fillId="0" borderId="8" xfId="0" applyNumberFormat="1" applyFont="1" applyBorder="1"/>
    <xf numFmtId="2" fontId="45" fillId="0" borderId="6" xfId="0" applyNumberFormat="1" applyFont="1" applyBorder="1" applyAlignment="1">
      <alignment horizontal="center" vertical="center"/>
    </xf>
    <xf numFmtId="2" fontId="36" fillId="0" borderId="23" xfId="0" applyNumberFormat="1" applyFont="1" applyBorder="1"/>
    <xf numFmtId="2" fontId="32" fillId="0" borderId="23" xfId="0" applyNumberFormat="1" applyFont="1" applyBorder="1" applyAlignment="1">
      <alignment horizontal="center" vertical="center"/>
    </xf>
    <xf numFmtId="2" fontId="32" fillId="0" borderId="16" xfId="0" applyNumberFormat="1" applyFont="1" applyBorder="1" applyAlignment="1">
      <alignment horizontal="center" vertical="center"/>
    </xf>
    <xf numFmtId="2" fontId="36" fillId="0" borderId="16" xfId="0" applyNumberFormat="1" applyFont="1" applyBorder="1"/>
    <xf numFmtId="0" fontId="10" fillId="0" borderId="32" xfId="0" applyFont="1" applyBorder="1" applyAlignment="1">
      <alignment horizontal="left"/>
    </xf>
    <xf numFmtId="0" fontId="11" fillId="0" borderId="33" xfId="0" applyFont="1" applyBorder="1"/>
    <xf numFmtId="0" fontId="7" fillId="0" borderId="15" xfId="0" applyFont="1" applyBorder="1" applyAlignment="1">
      <alignment horizontal="left"/>
    </xf>
    <xf numFmtId="0" fontId="15" fillId="0" borderId="16" xfId="0" applyFont="1" applyBorder="1"/>
    <xf numFmtId="2" fontId="7" fillId="0" borderId="16" xfId="0" applyNumberFormat="1" applyFont="1" applyBorder="1"/>
    <xf numFmtId="2" fontId="7" fillId="0" borderId="16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15" fillId="0" borderId="23" xfId="0" applyFont="1" applyBorder="1"/>
    <xf numFmtId="2" fontId="7" fillId="0" borderId="23" xfId="0" applyNumberFormat="1" applyFont="1" applyBorder="1"/>
    <xf numFmtId="2" fontId="7" fillId="0" borderId="23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right"/>
    </xf>
    <xf numFmtId="1" fontId="10" fillId="0" borderId="23" xfId="0" applyNumberFormat="1" applyFont="1" applyBorder="1"/>
    <xf numFmtId="0" fontId="10" fillId="0" borderId="0" xfId="0" applyFont="1" applyBorder="1" applyAlignment="1">
      <alignment horizontal="left"/>
    </xf>
    <xf numFmtId="16" fontId="11" fillId="0" borderId="0" xfId="0" applyNumberFormat="1" applyFont="1" applyBorder="1"/>
    <xf numFmtId="0" fontId="7" fillId="0" borderId="0" xfId="0" applyFont="1" applyBorder="1" applyAlignment="1">
      <alignment horizontal="left"/>
    </xf>
    <xf numFmtId="0" fontId="7" fillId="0" borderId="26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65" fontId="7" fillId="0" borderId="0" xfId="0" applyNumberFormat="1" applyFont="1" applyBorder="1"/>
    <xf numFmtId="2" fontId="45" fillId="0" borderId="6" xfId="0" applyNumberFormat="1" applyFont="1" applyBorder="1"/>
    <xf numFmtId="2" fontId="46" fillId="0" borderId="33" xfId="0" applyNumberFormat="1" applyFont="1" applyBorder="1" applyAlignment="1">
      <alignment horizontal="center" vertical="center"/>
    </xf>
    <xf numFmtId="2" fontId="45" fillId="0" borderId="16" xfId="0" applyNumberFormat="1" applyFont="1" applyBorder="1" applyAlignment="1">
      <alignment horizontal="center" vertical="center"/>
    </xf>
    <xf numFmtId="2" fontId="45" fillId="0" borderId="0" xfId="0" applyNumberFormat="1" applyFont="1" applyBorder="1" applyAlignment="1">
      <alignment horizontal="center" vertical="center"/>
    </xf>
    <xf numFmtId="2" fontId="45" fillId="0" borderId="23" xfId="0" applyNumberFormat="1" applyFont="1" applyBorder="1" applyAlignment="1">
      <alignment horizontal="center" vertical="center"/>
    </xf>
    <xf numFmtId="2" fontId="45" fillId="0" borderId="33" xfId="0" applyNumberFormat="1" applyFont="1" applyBorder="1"/>
    <xf numFmtId="2" fontId="45" fillId="0" borderId="23" xfId="0" applyNumberFormat="1" applyFont="1" applyBorder="1"/>
    <xf numFmtId="2" fontId="46" fillId="0" borderId="33" xfId="0" applyNumberFormat="1" applyFont="1" applyBorder="1"/>
    <xf numFmtId="0" fontId="11" fillId="0" borderId="0" xfId="0" applyFont="1" applyBorder="1"/>
    <xf numFmtId="49" fontId="6" fillId="0" borderId="0" xfId="0" applyNumberFormat="1" applyFont="1" applyBorder="1" applyAlignment="1">
      <alignment horizontal="right" vertical="center"/>
    </xf>
    <xf numFmtId="1" fontId="6" fillId="0" borderId="0" xfId="0" applyNumberFormat="1" applyFont="1" applyBorder="1" applyAlignment="1">
      <alignment horizontal="center" vertical="center"/>
    </xf>
    <xf numFmtId="1" fontId="6" fillId="0" borderId="26" xfId="0" applyNumberFormat="1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center" vertical="center"/>
    </xf>
    <xf numFmtId="0" fontId="45" fillId="0" borderId="3" xfId="0" applyFont="1" applyBorder="1" applyAlignment="1">
      <alignment horizontal="center" vertical="top"/>
    </xf>
    <xf numFmtId="0" fontId="45" fillId="0" borderId="2" xfId="0" applyFont="1" applyBorder="1" applyAlignment="1">
      <alignment vertical="top"/>
    </xf>
    <xf numFmtId="0" fontId="45" fillId="0" borderId="3" xfId="0" applyFont="1" applyBorder="1" applyAlignment="1">
      <alignment horizontal="right" vertical="top"/>
    </xf>
    <xf numFmtId="0" fontId="45" fillId="0" borderId="2" xfId="0" applyFont="1" applyBorder="1" applyAlignment="1">
      <alignment horizontal="center" vertical="top"/>
    </xf>
    <xf numFmtId="0" fontId="45" fillId="0" borderId="3" xfId="0" applyFont="1" applyBorder="1" applyAlignment="1">
      <alignment horizontal="right"/>
    </xf>
    <xf numFmtId="0" fontId="45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left"/>
    </xf>
    <xf numFmtId="166" fontId="45" fillId="0" borderId="6" xfId="0" applyNumberFormat="1" applyFont="1" applyBorder="1" applyAlignment="1">
      <alignment horizontal="center" vertical="center"/>
    </xf>
    <xf numFmtId="2" fontId="45" fillId="0" borderId="2" xfId="0" applyNumberFormat="1" applyFont="1" applyBorder="1" applyAlignment="1">
      <alignment horizontal="center" vertical="center"/>
    </xf>
    <xf numFmtId="2" fontId="45" fillId="0" borderId="2" xfId="0" applyNumberFormat="1" applyFont="1" applyBorder="1" applyAlignment="1">
      <alignment horizontal="center" vertical="top"/>
    </xf>
    <xf numFmtId="0" fontId="45" fillId="0" borderId="4" xfId="0" applyFont="1" applyBorder="1" applyAlignment="1">
      <alignment horizontal="center" vertical="top"/>
    </xf>
    <xf numFmtId="0" fontId="45" fillId="0" borderId="2" xfId="0" applyFont="1" applyBorder="1" applyAlignment="1">
      <alignment horizontal="center"/>
    </xf>
    <xf numFmtId="0" fontId="45" fillId="0" borderId="4" xfId="0" applyFont="1" applyBorder="1" applyAlignment="1">
      <alignment horizontal="center" vertical="center"/>
    </xf>
    <xf numFmtId="2" fontId="45" fillId="0" borderId="4" xfId="0" applyNumberFormat="1" applyFont="1" applyBorder="1" applyAlignment="1">
      <alignment horizontal="center" vertical="center"/>
    </xf>
    <xf numFmtId="2" fontId="7" fillId="0" borderId="6" xfId="0" applyNumberFormat="1" applyFont="1" applyBorder="1"/>
    <xf numFmtId="2" fontId="7" fillId="0" borderId="7" xfId="0" applyNumberFormat="1" applyFont="1" applyBorder="1"/>
    <xf numFmtId="0" fontId="7" fillId="0" borderId="32" xfId="0" applyFont="1" applyBorder="1" applyAlignment="1">
      <alignment horizontal="left"/>
    </xf>
    <xf numFmtId="0" fontId="15" fillId="0" borderId="33" xfId="0" applyFont="1" applyBorder="1"/>
    <xf numFmtId="2" fontId="7" fillId="0" borderId="33" xfId="0" applyNumberFormat="1" applyFont="1" applyBorder="1"/>
    <xf numFmtId="2" fontId="7" fillId="0" borderId="33" xfId="0" applyNumberFormat="1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165" fontId="7" fillId="0" borderId="34" xfId="0" applyNumberFormat="1" applyFont="1" applyBorder="1"/>
    <xf numFmtId="0" fontId="7" fillId="0" borderId="0" xfId="0" applyFont="1" applyBorder="1" applyAlignment="1">
      <alignment horizontal="center" wrapText="1"/>
    </xf>
    <xf numFmtId="0" fontId="7" fillId="0" borderId="26" xfId="0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7" fillId="0" borderId="0" xfId="0" applyFont="1" applyBorder="1" applyAlignment="1">
      <alignment horizontal="center" vertical="top" wrapText="1"/>
    </xf>
    <xf numFmtId="2" fontId="45" fillId="0" borderId="0" xfId="0" applyNumberFormat="1" applyFont="1" applyBorder="1"/>
    <xf numFmtId="49" fontId="51" fillId="0" borderId="0" xfId="0" applyNumberFormat="1" applyFont="1"/>
    <xf numFmtId="0" fontId="52" fillId="0" borderId="0" xfId="0" applyFont="1" applyFill="1"/>
    <xf numFmtId="0" fontId="46" fillId="0" borderId="32" xfId="0" applyFont="1" applyBorder="1" applyAlignment="1">
      <alignment horizontal="right"/>
    </xf>
    <xf numFmtId="2" fontId="45" fillId="0" borderId="33" xfId="0" applyNumberFormat="1" applyFont="1" applyBorder="1" applyAlignment="1">
      <alignment horizontal="center" vertical="center"/>
    </xf>
    <xf numFmtId="0" fontId="45" fillId="0" borderId="34" xfId="0" applyFont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2" fontId="10" fillId="0" borderId="8" xfId="0" applyNumberFormat="1" applyFont="1" applyBorder="1"/>
    <xf numFmtId="0" fontId="10" fillId="0" borderId="32" xfId="0" applyFont="1" applyBorder="1" applyAlignment="1">
      <alignment horizontal="left" vertical="top"/>
    </xf>
    <xf numFmtId="1" fontId="10" fillId="0" borderId="34" xfId="0" applyNumberFormat="1" applyFont="1" applyBorder="1"/>
    <xf numFmtId="0" fontId="6" fillId="0" borderId="42" xfId="0" applyFont="1" applyBorder="1"/>
    <xf numFmtId="2" fontId="46" fillId="0" borderId="0" xfId="0" applyNumberFormat="1" applyFont="1" applyBorder="1" applyAlignment="1">
      <alignment horizontal="center" vertical="center"/>
    </xf>
    <xf numFmtId="2" fontId="46" fillId="0" borderId="0" xfId="0" applyNumberFormat="1" applyFont="1" applyBorder="1"/>
    <xf numFmtId="49" fontId="6" fillId="0" borderId="42" xfId="0" applyNumberFormat="1" applyFont="1" applyBorder="1" applyAlignment="1">
      <alignment horizontal="right"/>
    </xf>
    <xf numFmtId="49" fontId="6" fillId="0" borderId="42" xfId="0" applyNumberFormat="1" applyFont="1" applyBorder="1"/>
    <xf numFmtId="2" fontId="45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/>
    </xf>
    <xf numFmtId="0" fontId="45" fillId="0" borderId="0" xfId="0" applyFont="1" applyBorder="1" applyAlignment="1">
      <alignment horizontal="left"/>
    </xf>
    <xf numFmtId="0" fontId="46" fillId="0" borderId="11" xfId="0" applyFont="1" applyBorder="1" applyAlignment="1">
      <alignment horizontal="center"/>
    </xf>
    <xf numFmtId="0" fontId="46" fillId="0" borderId="11" xfId="0" applyFont="1" applyBorder="1"/>
    <xf numFmtId="0" fontId="45" fillId="0" borderId="11" xfId="0" applyFont="1" applyBorder="1" applyAlignment="1">
      <alignment horizontal="center"/>
    </xf>
    <xf numFmtId="2" fontId="45" fillId="0" borderId="11" xfId="0" applyNumberFormat="1" applyFont="1" applyBorder="1" applyAlignment="1">
      <alignment horizontal="center"/>
    </xf>
    <xf numFmtId="0" fontId="45" fillId="0" borderId="34" xfId="0" applyFont="1" applyBorder="1" applyAlignment="1">
      <alignment horizontal="center"/>
    </xf>
    <xf numFmtId="0" fontId="46" fillId="0" borderId="13" xfId="0" applyFont="1" applyBorder="1" applyAlignment="1">
      <alignment horizontal="right"/>
    </xf>
    <xf numFmtId="0" fontId="46" fillId="0" borderId="13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/>
    </xf>
    <xf numFmtId="0" fontId="45" fillId="0" borderId="13" xfId="0" applyFont="1" applyBorder="1" applyAlignment="1">
      <alignment horizontal="center" vertical="center"/>
    </xf>
    <xf numFmtId="2" fontId="45" fillId="0" borderId="13" xfId="0" applyNumberFormat="1" applyFont="1" applyBorder="1" applyAlignment="1">
      <alignment horizontal="center" vertical="center"/>
    </xf>
    <xf numFmtId="0" fontId="6" fillId="0" borderId="21" xfId="0" applyFont="1" applyBorder="1"/>
    <xf numFmtId="0" fontId="5" fillId="0" borderId="32" xfId="0" applyFont="1" applyBorder="1"/>
    <xf numFmtId="2" fontId="45" fillId="0" borderId="41" xfId="0" applyNumberFormat="1" applyFont="1" applyBorder="1" applyAlignment="1">
      <alignment horizontal="center" vertical="center"/>
    </xf>
    <xf numFmtId="2" fontId="46" fillId="0" borderId="34" xfId="0" applyNumberFormat="1" applyFont="1" applyBorder="1" applyAlignment="1">
      <alignment horizontal="center" vertical="center"/>
    </xf>
    <xf numFmtId="0" fontId="46" fillId="0" borderId="0" xfId="0" applyFont="1" applyBorder="1" applyAlignment="1">
      <alignment horizontal="left"/>
    </xf>
    <xf numFmtId="49" fontId="45" fillId="0" borderId="0" xfId="0" applyNumberFormat="1" applyFont="1" applyBorder="1" applyAlignment="1">
      <alignment horizontal="center" vertical="center"/>
    </xf>
    <xf numFmtId="49" fontId="46" fillId="0" borderId="0" xfId="0" applyNumberFormat="1" applyFont="1" applyBorder="1" applyAlignment="1">
      <alignment horizontal="center" vertical="center"/>
    </xf>
    <xf numFmtId="49" fontId="46" fillId="0" borderId="0" xfId="0" applyNumberFormat="1" applyFont="1" applyBorder="1" applyAlignment="1">
      <alignment horizontal="right"/>
    </xf>
    <xf numFmtId="49" fontId="45" fillId="0" borderId="0" xfId="0" applyNumberFormat="1" applyFont="1" applyBorder="1" applyAlignment="1">
      <alignment horizontal="left" vertical="center"/>
    </xf>
    <xf numFmtId="49" fontId="45" fillId="0" borderId="26" xfId="0" applyNumberFormat="1" applyFont="1" applyBorder="1" applyAlignment="1">
      <alignment horizontal="center" vertical="center"/>
    </xf>
    <xf numFmtId="0" fontId="45" fillId="0" borderId="26" xfId="0" applyFont="1" applyBorder="1" applyAlignment="1">
      <alignment horizontal="left"/>
    </xf>
    <xf numFmtId="49" fontId="46" fillId="0" borderId="26" xfId="0" applyNumberFormat="1" applyFont="1" applyBorder="1" applyAlignment="1">
      <alignment horizontal="center" vertical="center"/>
    </xf>
    <xf numFmtId="0" fontId="46" fillId="0" borderId="26" xfId="0" applyFont="1" applyBorder="1" applyAlignment="1">
      <alignment horizontal="left"/>
    </xf>
    <xf numFmtId="49" fontId="45" fillId="0" borderId="0" xfId="0" applyNumberFormat="1" applyFont="1" applyBorder="1" applyAlignment="1">
      <alignment horizontal="left" vertical="top"/>
    </xf>
    <xf numFmtId="49" fontId="46" fillId="0" borderId="0" xfId="0" applyNumberFormat="1" applyFont="1" applyBorder="1" applyAlignment="1">
      <alignment horizontal="left" vertical="top"/>
    </xf>
    <xf numFmtId="49" fontId="45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 vertical="center"/>
    </xf>
    <xf numFmtId="2" fontId="45" fillId="0" borderId="26" xfId="0" applyNumberFormat="1" applyFont="1" applyBorder="1"/>
    <xf numFmtId="49" fontId="46" fillId="0" borderId="32" xfId="0" applyNumberFormat="1" applyFont="1" applyBorder="1" applyAlignment="1">
      <alignment horizontal="left" vertical="center"/>
    </xf>
    <xf numFmtId="49" fontId="10" fillId="0" borderId="33" xfId="0" applyNumberFormat="1" applyFont="1" applyBorder="1" applyAlignment="1">
      <alignment horizontal="center" vertical="center"/>
    </xf>
    <xf numFmtId="2" fontId="46" fillId="0" borderId="34" xfId="0" applyNumberFormat="1" applyFont="1" applyBorder="1"/>
    <xf numFmtId="49" fontId="7" fillId="0" borderId="0" xfId="0" applyNumberFormat="1" applyFont="1" applyBorder="1"/>
    <xf numFmtId="0" fontId="46" fillId="0" borderId="32" xfId="0" applyFont="1" applyBorder="1" applyAlignment="1">
      <alignment horizontal="left" vertical="top"/>
    </xf>
    <xf numFmtId="2" fontId="45" fillId="0" borderId="18" xfId="0" applyNumberFormat="1" applyFont="1" applyBorder="1"/>
    <xf numFmtId="2" fontId="45" fillId="0" borderId="34" xfId="0" applyNumberFormat="1" applyFont="1" applyBorder="1"/>
    <xf numFmtId="2" fontId="45" fillId="0" borderId="7" xfId="0" applyNumberFormat="1" applyFont="1" applyBorder="1" applyAlignment="1">
      <alignment horizontal="center" vertical="center"/>
    </xf>
    <xf numFmtId="0" fontId="11" fillId="0" borderId="32" xfId="0" applyFont="1" applyBorder="1"/>
    <xf numFmtId="2" fontId="45" fillId="0" borderId="18" xfId="0" applyNumberFormat="1" applyFont="1" applyBorder="1" applyAlignment="1">
      <alignment horizontal="center" vertical="center"/>
    </xf>
    <xf numFmtId="0" fontId="10" fillId="0" borderId="32" xfId="0" applyFont="1" applyBorder="1" applyAlignment="1"/>
    <xf numFmtId="0" fontId="45" fillId="0" borderId="0" xfId="0" applyFont="1" applyBorder="1" applyAlignment="1">
      <alignment horizontal="right"/>
    </xf>
    <xf numFmtId="2" fontId="45" fillId="0" borderId="26" xfId="0" applyNumberFormat="1" applyFont="1" applyBorder="1" applyAlignment="1">
      <alignment horizontal="center" vertical="center"/>
    </xf>
    <xf numFmtId="2" fontId="31" fillId="0" borderId="0" xfId="0" applyNumberFormat="1" applyFont="1" applyBorder="1"/>
    <xf numFmtId="2" fontId="46" fillId="0" borderId="32" xfId="0" applyNumberFormat="1" applyFont="1" applyBorder="1" applyAlignment="1">
      <alignment horizontal="center" vertical="center"/>
    </xf>
    <xf numFmtId="49" fontId="46" fillId="0" borderId="33" xfId="0" applyNumberFormat="1" applyFont="1" applyBorder="1"/>
    <xf numFmtId="0" fontId="7" fillId="0" borderId="3" xfId="0" applyFont="1" applyBorder="1" applyAlignment="1">
      <alignment horizontal="left"/>
    </xf>
    <xf numFmtId="2" fontId="10" fillId="0" borderId="6" xfId="0" applyNumberFormat="1" applyFont="1" applyBorder="1"/>
    <xf numFmtId="2" fontId="10" fillId="0" borderId="7" xfId="0" applyNumberFormat="1" applyFont="1" applyBorder="1"/>
    <xf numFmtId="49" fontId="7" fillId="0" borderId="0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center" vertical="center"/>
    </xf>
    <xf numFmtId="49" fontId="7" fillId="0" borderId="26" xfId="0" applyNumberFormat="1" applyFont="1" applyBorder="1" applyAlignment="1">
      <alignment horizontal="center" vertical="center"/>
    </xf>
    <xf numFmtId="2" fontId="10" fillId="0" borderId="32" xfId="0" applyNumberFormat="1" applyFont="1" applyBorder="1" applyAlignment="1">
      <alignment horizontal="center" vertical="center"/>
    </xf>
    <xf numFmtId="49" fontId="10" fillId="0" borderId="33" xfId="0" applyNumberFormat="1" applyFont="1" applyBorder="1"/>
    <xf numFmtId="165" fontId="10" fillId="0" borderId="33" xfId="0" applyNumberFormat="1" applyFont="1" applyBorder="1"/>
    <xf numFmtId="2" fontId="10" fillId="0" borderId="34" xfId="0" applyNumberFormat="1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left"/>
    </xf>
    <xf numFmtId="49" fontId="7" fillId="0" borderId="26" xfId="0" applyNumberFormat="1" applyFont="1" applyBorder="1" applyAlignment="1">
      <alignment horizontal="right"/>
    </xf>
    <xf numFmtId="49" fontId="7" fillId="0" borderId="26" xfId="0" applyNumberFormat="1" applyFont="1" applyBorder="1" applyAlignment="1">
      <alignment horizontal="left"/>
    </xf>
    <xf numFmtId="2" fontId="7" fillId="0" borderId="26" xfId="1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2" fontId="10" fillId="0" borderId="0" xfId="0" applyNumberFormat="1" applyFont="1" applyBorder="1" applyAlignment="1">
      <alignment horizontal="left"/>
    </xf>
    <xf numFmtId="49" fontId="51" fillId="0" borderId="0" xfId="0" applyNumberFormat="1" applyFont="1" applyBorder="1" applyAlignment="1">
      <alignment horizontal="right"/>
    </xf>
    <xf numFmtId="49" fontId="51" fillId="0" borderId="0" xfId="0" applyNumberFormat="1" applyFont="1" applyBorder="1" applyAlignment="1">
      <alignment horizontal="left"/>
    </xf>
    <xf numFmtId="0" fontId="53" fillId="0" borderId="0" xfId="0" applyFont="1" applyFill="1"/>
    <xf numFmtId="0" fontId="50" fillId="0" borderId="0" xfId="0" applyFont="1" applyBorder="1"/>
    <xf numFmtId="0" fontId="11" fillId="0" borderId="0" xfId="0" applyFont="1" applyBorder="1" applyAlignment="1">
      <alignment horizontal="right"/>
    </xf>
    <xf numFmtId="2" fontId="15" fillId="0" borderId="0" xfId="0" applyNumberFormat="1" applyFont="1" applyBorder="1"/>
    <xf numFmtId="2" fontId="15" fillId="0" borderId="26" xfId="0" applyNumberFormat="1" applyFont="1" applyBorder="1"/>
    <xf numFmtId="165" fontId="10" fillId="0" borderId="33" xfId="0" applyNumberFormat="1" applyFont="1" applyBorder="1" applyAlignment="1">
      <alignment horizontal="center" vertical="center"/>
    </xf>
    <xf numFmtId="0" fontId="11" fillId="0" borderId="0" xfId="0" applyFont="1" applyFill="1" applyBorder="1"/>
    <xf numFmtId="0" fontId="45" fillId="0" borderId="32" xfId="0" applyFont="1" applyBorder="1" applyAlignment="1">
      <alignment horizontal="left"/>
    </xf>
    <xf numFmtId="49" fontId="7" fillId="0" borderId="32" xfId="0" applyNumberFormat="1" applyFont="1" applyBorder="1" applyAlignment="1">
      <alignment horizontal="right"/>
    </xf>
    <xf numFmtId="0" fontId="15" fillId="0" borderId="33" xfId="0" applyFont="1" applyFill="1" applyBorder="1"/>
    <xf numFmtId="2" fontId="7" fillId="0" borderId="34" xfId="0" applyNumberFormat="1" applyFont="1" applyBorder="1"/>
    <xf numFmtId="49" fontId="7" fillId="0" borderId="32" xfId="0" applyNumberFormat="1" applyFont="1" applyBorder="1" applyAlignment="1">
      <alignment horizontal="left"/>
    </xf>
    <xf numFmtId="165" fontId="7" fillId="0" borderId="33" xfId="0" applyNumberFormat="1" applyFont="1" applyBorder="1"/>
    <xf numFmtId="2" fontId="7" fillId="0" borderId="34" xfId="0" applyNumberFormat="1" applyFont="1" applyBorder="1" applyAlignment="1">
      <alignment horizontal="center" vertical="center"/>
    </xf>
    <xf numFmtId="0" fontId="15" fillId="0" borderId="43" xfId="0" applyFont="1" applyFill="1" applyBorder="1"/>
    <xf numFmtId="2" fontId="6" fillId="0" borderId="0" xfId="0" applyNumberFormat="1" applyFont="1"/>
    <xf numFmtId="0" fontId="6" fillId="0" borderId="53" xfId="0" applyFont="1" applyBorder="1"/>
    <xf numFmtId="2" fontId="6" fillId="0" borderId="53" xfId="0" applyNumberFormat="1" applyFont="1" applyBorder="1"/>
    <xf numFmtId="49" fontId="7" fillId="0" borderId="26" xfId="0" applyNumberFormat="1" applyFont="1" applyBorder="1"/>
    <xf numFmtId="49" fontId="32" fillId="0" borderId="0" xfId="0" applyNumberFormat="1" applyFont="1"/>
    <xf numFmtId="49" fontId="40" fillId="0" borderId="0" xfId="0" applyNumberFormat="1" applyFont="1" applyFill="1" applyBorder="1" applyAlignment="1">
      <alignment horizontal="left"/>
    </xf>
    <xf numFmtId="49" fontId="35" fillId="0" borderId="0" xfId="0" applyNumberFormat="1" applyFont="1" applyAlignment="1">
      <alignment horizontal="right"/>
    </xf>
    <xf numFmtId="49" fontId="35" fillId="0" borderId="0" xfId="0" applyNumberFormat="1" applyFont="1"/>
    <xf numFmtId="0" fontId="32" fillId="0" borderId="0" xfId="0" applyFont="1" applyFill="1" applyBorder="1"/>
    <xf numFmtId="49" fontId="10" fillId="0" borderId="0" xfId="0" applyNumberFormat="1" applyFont="1"/>
    <xf numFmtId="0" fontId="7" fillId="0" borderId="0" xfId="0" applyFont="1"/>
    <xf numFmtId="0" fontId="7" fillId="0" borderId="26" xfId="0" applyFont="1" applyBorder="1"/>
    <xf numFmtId="1" fontId="7" fillId="0" borderId="0" xfId="0" applyNumberFormat="1" applyFont="1" applyBorder="1"/>
    <xf numFmtId="49" fontId="7" fillId="0" borderId="26" xfId="0" applyNumberFormat="1" applyFont="1" applyFill="1" applyBorder="1" applyAlignment="1">
      <alignment horizontal="left"/>
    </xf>
    <xf numFmtId="1" fontId="7" fillId="0" borderId="33" xfId="0" applyNumberFormat="1" applyFont="1" applyBorder="1"/>
    <xf numFmtId="2" fontId="45" fillId="0" borderId="2" xfId="0" applyNumberFormat="1" applyFont="1" applyBorder="1" applyAlignment="1">
      <alignment horizontal="center" vertical="center"/>
    </xf>
    <xf numFmtId="2" fontId="45" fillId="0" borderId="4" xfId="0" applyNumberFormat="1" applyFont="1" applyBorder="1" applyAlignment="1">
      <alignment horizontal="center" vertical="center"/>
    </xf>
    <xf numFmtId="166" fontId="45" fillId="0" borderId="6" xfId="0" applyNumberFormat="1" applyFont="1" applyBorder="1" applyAlignment="1">
      <alignment horizontal="center" vertical="center"/>
    </xf>
    <xf numFmtId="2" fontId="45" fillId="0" borderId="6" xfId="0" applyNumberFormat="1" applyFont="1" applyBorder="1" applyAlignment="1">
      <alignment horizontal="center" vertical="center"/>
    </xf>
    <xf numFmtId="2" fontId="36" fillId="0" borderId="0" xfId="0" applyNumberFormat="1" applyFont="1" applyBorder="1" applyAlignment="1">
      <alignment horizontal="center" vertical="center"/>
    </xf>
    <xf numFmtId="0" fontId="46" fillId="0" borderId="16" xfId="0" applyFont="1" applyBorder="1" applyAlignment="1">
      <alignment horizontal="center"/>
    </xf>
    <xf numFmtId="0" fontId="46" fillId="0" borderId="0" xfId="0" applyFont="1" applyBorder="1" applyAlignment="1">
      <alignment horizontal="left"/>
    </xf>
    <xf numFmtId="2" fontId="9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left"/>
    </xf>
    <xf numFmtId="0" fontId="54" fillId="0" borderId="0" xfId="0" applyFont="1" applyBorder="1" applyAlignment="1">
      <alignment vertical="center" wrapText="1"/>
    </xf>
    <xf numFmtId="2" fontId="7" fillId="0" borderId="0" xfId="0" applyNumberFormat="1" applyFont="1" applyBorder="1" applyAlignment="1">
      <alignment horizontal="left" vertical="center"/>
    </xf>
    <xf numFmtId="0" fontId="9" fillId="0" borderId="0" xfId="0" applyFont="1"/>
    <xf numFmtId="0" fontId="15" fillId="0" borderId="0" xfId="0" applyFont="1" applyAlignment="1">
      <alignment horizontal="center" vertical="top" wrapText="1"/>
    </xf>
    <xf numFmtId="2" fontId="15" fillId="0" borderId="0" xfId="0" applyNumberFormat="1" applyFont="1" applyAlignment="1">
      <alignment horizontal="center" vertical="center"/>
    </xf>
    <xf numFmtId="49" fontId="7" fillId="0" borderId="0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2" fontId="7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7" fillId="0" borderId="26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Border="1" applyAlignment="1">
      <alignment wrapText="1"/>
    </xf>
    <xf numFmtId="1" fontId="7" fillId="0" borderId="0" xfId="0" applyNumberFormat="1" applyFont="1" applyBorder="1" applyAlignment="1">
      <alignment horizontal="center" vertical="center"/>
    </xf>
    <xf numFmtId="2" fontId="7" fillId="0" borderId="26" xfId="0" applyNumberFormat="1" applyFont="1" applyBorder="1" applyAlignment="1">
      <alignment horizontal="center"/>
    </xf>
    <xf numFmtId="165" fontId="10" fillId="0" borderId="0" xfId="0" applyNumberFormat="1" applyFont="1" applyBorder="1"/>
    <xf numFmtId="49" fontId="7" fillId="0" borderId="0" xfId="0" applyNumberFormat="1" applyFont="1" applyBorder="1" applyAlignment="1">
      <alignment horizontal="right" vertical="top"/>
    </xf>
    <xf numFmtId="0" fontId="6" fillId="0" borderId="0" xfId="0" applyFont="1" applyBorder="1" applyAlignment="1">
      <alignment vertical="top"/>
    </xf>
    <xf numFmtId="165" fontId="15" fillId="0" borderId="0" xfId="0" applyNumberFormat="1" applyFont="1" applyBorder="1" applyAlignment="1">
      <alignment vertical="top" wrapText="1"/>
    </xf>
    <xf numFmtId="49" fontId="6" fillId="0" borderId="3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center"/>
    </xf>
    <xf numFmtId="1" fontId="6" fillId="0" borderId="4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wrapText="1"/>
    </xf>
    <xf numFmtId="0" fontId="1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right" vertical="top"/>
    </xf>
    <xf numFmtId="1" fontId="7" fillId="0" borderId="0" xfId="0" applyNumberFormat="1" applyFont="1" applyBorder="1" applyAlignment="1">
      <alignment wrapText="1"/>
    </xf>
    <xf numFmtId="49" fontId="7" fillId="0" borderId="3" xfId="0" applyNumberFormat="1" applyFont="1" applyFill="1" applyBorder="1" applyAlignment="1">
      <alignment horizontal="right"/>
    </xf>
    <xf numFmtId="0" fontId="15" fillId="0" borderId="2" xfId="0" applyFont="1" applyFill="1" applyBorder="1"/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/>
    <xf numFmtId="2" fontId="36" fillId="0" borderId="0" xfId="0" applyNumberFormat="1" applyFont="1" applyBorder="1" applyAlignment="1">
      <alignment horizontal="center" vertical="center"/>
    </xf>
    <xf numFmtId="0" fontId="45" fillId="0" borderId="12" xfId="0" applyFont="1" applyBorder="1"/>
    <xf numFmtId="1" fontId="15" fillId="0" borderId="26" xfId="0" applyNumberFormat="1" applyFont="1" applyFill="1" applyBorder="1"/>
    <xf numFmtId="2" fontId="7" fillId="0" borderId="0" xfId="0" applyNumberFormat="1" applyFont="1" applyBorder="1" applyAlignment="1">
      <alignment wrapText="1"/>
    </xf>
    <xf numFmtId="2" fontId="7" fillId="0" borderId="0" xfId="0" applyNumberFormat="1" applyFont="1" applyBorder="1" applyAlignment="1">
      <alignment horizontal="center" vertical="center" wrapText="1"/>
    </xf>
    <xf numFmtId="2" fontId="45" fillId="0" borderId="0" xfId="0" applyNumberFormat="1" applyFont="1" applyBorder="1" applyAlignment="1">
      <alignment wrapText="1"/>
    </xf>
    <xf numFmtId="2" fontId="7" fillId="0" borderId="0" xfId="0" applyNumberFormat="1" applyFont="1" applyBorder="1" applyAlignment="1">
      <alignment horizontal="left"/>
    </xf>
    <xf numFmtId="2" fontId="7" fillId="0" borderId="26" xfId="0" applyNumberFormat="1" applyFont="1" applyBorder="1" applyAlignment="1">
      <alignment horizontal="left"/>
    </xf>
    <xf numFmtId="165" fontId="7" fillId="0" borderId="26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left" vertical="top"/>
    </xf>
    <xf numFmtId="49" fontId="7" fillId="0" borderId="26" xfId="0" applyNumberFormat="1" applyFont="1" applyBorder="1" applyAlignment="1">
      <alignment horizontal="left" vertical="top"/>
    </xf>
    <xf numFmtId="2" fontId="7" fillId="0" borderId="0" xfId="0" applyNumberFormat="1" applyFont="1" applyBorder="1" applyAlignment="1">
      <alignment horizontal="left" vertical="top"/>
    </xf>
    <xf numFmtId="2" fontId="7" fillId="0" borderId="26" xfId="0" applyNumberFormat="1" applyFont="1" applyBorder="1" applyAlignment="1">
      <alignment horizontal="left" vertical="top"/>
    </xf>
    <xf numFmtId="49" fontId="5" fillId="0" borderId="0" xfId="0" applyNumberFormat="1" applyFont="1" applyBorder="1" applyAlignment="1">
      <alignment horizontal="right"/>
    </xf>
    <xf numFmtId="0" fontId="46" fillId="0" borderId="15" xfId="0" applyFont="1" applyBorder="1" applyAlignment="1">
      <alignment horizontal="right"/>
    </xf>
    <xf numFmtId="0" fontId="46" fillId="0" borderId="16" xfId="0" applyFont="1" applyBorder="1" applyAlignment="1">
      <alignment horizontal="center" vertical="center"/>
    </xf>
    <xf numFmtId="0" fontId="45" fillId="0" borderId="16" xfId="0" applyFont="1" applyBorder="1" applyAlignment="1">
      <alignment horizontal="center" vertical="center"/>
    </xf>
    <xf numFmtId="0" fontId="45" fillId="0" borderId="17" xfId="0" applyFont="1" applyBorder="1" applyAlignment="1">
      <alignment horizontal="center" vertical="center"/>
    </xf>
    <xf numFmtId="2" fontId="10" fillId="0" borderId="2" xfId="0" applyNumberFormat="1" applyFont="1" applyBorder="1"/>
    <xf numFmtId="2" fontId="10" fillId="0" borderId="4" xfId="0" applyNumberFormat="1" applyFont="1" applyBorder="1"/>
    <xf numFmtId="49" fontId="7" fillId="3" borderId="32" xfId="0" applyNumberFormat="1" applyFont="1" applyFill="1" applyBorder="1" applyAlignment="1">
      <alignment horizontal="right"/>
    </xf>
    <xf numFmtId="0" fontId="15" fillId="3" borderId="33" xfId="0" applyFont="1" applyFill="1" applyBorder="1"/>
    <xf numFmtId="2" fontId="7" fillId="3" borderId="33" xfId="0" applyNumberFormat="1" applyFont="1" applyFill="1" applyBorder="1"/>
    <xf numFmtId="2" fontId="7" fillId="3" borderId="33" xfId="0" applyNumberFormat="1" applyFont="1" applyFill="1" applyBorder="1" applyAlignment="1">
      <alignment horizontal="center" vertical="center"/>
    </xf>
    <xf numFmtId="2" fontId="7" fillId="3" borderId="34" xfId="0" applyNumberFormat="1" applyFont="1" applyFill="1" applyBorder="1"/>
    <xf numFmtId="2" fontId="3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49" fontId="15" fillId="0" borderId="32" xfId="0" applyNumberFormat="1" applyFont="1" applyFill="1" applyBorder="1" applyAlignment="1">
      <alignment horizontal="right" vertical="center"/>
    </xf>
    <xf numFmtId="0" fontId="7" fillId="0" borderId="33" xfId="0" applyFont="1" applyFill="1" applyBorder="1" applyAlignment="1">
      <alignment vertical="top"/>
    </xf>
    <xf numFmtId="2" fontId="7" fillId="0" borderId="33" xfId="0" applyNumberFormat="1" applyFont="1" applyFill="1" applyBorder="1"/>
    <xf numFmtId="2" fontId="7" fillId="0" borderId="33" xfId="0" applyNumberFormat="1" applyFont="1" applyFill="1" applyBorder="1" applyAlignment="1">
      <alignment horizontal="center" vertical="center"/>
    </xf>
    <xf numFmtId="2" fontId="7" fillId="0" borderId="34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16" fillId="0" borderId="0" xfId="0" applyNumberFormat="1" applyFont="1"/>
    <xf numFmtId="0" fontId="16" fillId="0" borderId="0" xfId="0" applyFont="1" applyAlignment="1"/>
    <xf numFmtId="0" fontId="16" fillId="0" borderId="0" xfId="0" applyFont="1" applyAlignment="1">
      <alignment vertical="top"/>
    </xf>
    <xf numFmtId="0" fontId="16" fillId="0" borderId="26" xfId="0" applyFont="1" applyBorder="1" applyAlignment="1">
      <alignment vertical="top"/>
    </xf>
    <xf numFmtId="0" fontId="16" fillId="0" borderId="26" xfId="0" applyFont="1" applyBorder="1"/>
    <xf numFmtId="0" fontId="0" fillId="0" borderId="26" xfId="0" applyBorder="1"/>
    <xf numFmtId="0" fontId="13" fillId="0" borderId="0" xfId="0" applyFont="1"/>
    <xf numFmtId="0" fontId="0" fillId="0" borderId="26" xfId="0" applyFont="1" applyBorder="1"/>
    <xf numFmtId="165" fontId="0" fillId="0" borderId="0" xfId="0" applyNumberFormat="1" applyFont="1"/>
    <xf numFmtId="0" fontId="0" fillId="0" borderId="0" xfId="0" applyFont="1" applyFill="1" applyBorder="1"/>
    <xf numFmtId="0" fontId="8" fillId="0" borderId="0" xfId="0" applyFont="1" applyFill="1" applyBorder="1"/>
    <xf numFmtId="0" fontId="0" fillId="0" borderId="26" xfId="0" applyFont="1" applyFill="1" applyBorder="1"/>
    <xf numFmtId="0" fontId="16" fillId="0" borderId="26" xfId="0" applyFont="1" applyBorder="1" applyAlignment="1"/>
    <xf numFmtId="165" fontId="0" fillId="0" borderId="26" xfId="0" applyNumberFormat="1" applyFont="1" applyBorder="1"/>
    <xf numFmtId="49" fontId="7" fillId="4" borderId="32" xfId="0" applyNumberFormat="1" applyFont="1" applyFill="1" applyBorder="1" applyAlignment="1">
      <alignment horizontal="left" vertical="top"/>
    </xf>
    <xf numFmtId="0" fontId="15" fillId="4" borderId="33" xfId="0" applyFont="1" applyFill="1" applyBorder="1"/>
    <xf numFmtId="2" fontId="7" fillId="4" borderId="33" xfId="0" applyNumberFormat="1" applyFont="1" applyFill="1" applyBorder="1"/>
    <xf numFmtId="2" fontId="7" fillId="4" borderId="33" xfId="0" applyNumberFormat="1" applyFont="1" applyFill="1" applyBorder="1" applyAlignment="1">
      <alignment horizontal="center" vertical="center"/>
    </xf>
    <xf numFmtId="2" fontId="7" fillId="4" borderId="34" xfId="0" applyNumberFormat="1" applyFont="1" applyFill="1" applyBorder="1" applyAlignment="1">
      <alignment horizontal="center" vertical="center"/>
    </xf>
    <xf numFmtId="0" fontId="55" fillId="0" borderId="0" xfId="0" applyFont="1" applyBorder="1"/>
    <xf numFmtId="2" fontId="55" fillId="0" borderId="0" xfId="0" applyNumberFormat="1" applyFont="1" applyBorder="1"/>
    <xf numFmtId="2" fontId="55" fillId="0" borderId="0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top"/>
    </xf>
    <xf numFmtId="2" fontId="45" fillId="0" borderId="6" xfId="0" applyNumberFormat="1" applyFont="1" applyBorder="1" applyAlignment="1">
      <alignment vertical="center"/>
    </xf>
    <xf numFmtId="2" fontId="45" fillId="0" borderId="7" xfId="0" applyNumberFormat="1" applyFont="1" applyBorder="1" applyAlignment="1">
      <alignment vertical="center"/>
    </xf>
    <xf numFmtId="0" fontId="10" fillId="4" borderId="32" xfId="0" applyFont="1" applyFill="1" applyBorder="1" applyAlignment="1">
      <alignment horizontal="left"/>
    </xf>
    <xf numFmtId="0" fontId="11" fillId="4" borderId="33" xfId="0" applyFont="1" applyFill="1" applyBorder="1"/>
    <xf numFmtId="2" fontId="10" fillId="4" borderId="33" xfId="0" applyNumberFormat="1" applyFont="1" applyFill="1" applyBorder="1"/>
    <xf numFmtId="2" fontId="10" fillId="4" borderId="33" xfId="0" applyNumberFormat="1" applyFont="1" applyFill="1" applyBorder="1" applyAlignment="1">
      <alignment horizontal="center" vertical="center"/>
    </xf>
    <xf numFmtId="0" fontId="6" fillId="4" borderId="34" xfId="0" applyFont="1" applyFill="1" applyBorder="1"/>
    <xf numFmtId="0" fontId="17" fillId="0" borderId="0" xfId="0" applyFont="1"/>
    <xf numFmtId="0" fontId="17" fillId="0" borderId="26" xfId="0" applyFont="1" applyBorder="1"/>
    <xf numFmtId="2" fontId="17" fillId="0" borderId="26" xfId="0" applyNumberFormat="1" applyFont="1" applyBorder="1"/>
    <xf numFmtId="0" fontId="17" fillId="0" borderId="0" xfId="0" applyFont="1" applyFill="1" applyBorder="1"/>
    <xf numFmtId="2" fontId="7" fillId="0" borderId="0" xfId="0" applyNumberFormat="1" applyFont="1"/>
    <xf numFmtId="0" fontId="17" fillId="0" borderId="0" xfId="0" applyFont="1" applyBorder="1"/>
    <xf numFmtId="2" fontId="17" fillId="0" borderId="0" xfId="0" applyNumberFormat="1" applyFont="1" applyBorder="1"/>
    <xf numFmtId="2" fontId="17" fillId="0" borderId="0" xfId="0" applyNumberFormat="1" applyFont="1"/>
    <xf numFmtId="0" fontId="17" fillId="4" borderId="0" xfId="0" applyFont="1" applyFill="1" applyBorder="1"/>
    <xf numFmtId="2" fontId="17" fillId="4" borderId="0" xfId="0" applyNumberFormat="1" applyFont="1" applyFill="1" applyBorder="1"/>
    <xf numFmtId="49" fontId="7" fillId="0" borderId="53" xfId="0" applyNumberFormat="1" applyFont="1" applyBorder="1" applyAlignment="1">
      <alignment horizontal="right"/>
    </xf>
    <xf numFmtId="0" fontId="7" fillId="0" borderId="53" xfId="0" applyFont="1" applyBorder="1"/>
    <xf numFmtId="2" fontId="7" fillId="0" borderId="53" xfId="0" applyNumberFormat="1" applyFont="1" applyBorder="1"/>
    <xf numFmtId="2" fontId="7" fillId="0" borderId="53" xfId="0" applyNumberFormat="1" applyFont="1" applyBorder="1" applyAlignment="1">
      <alignment horizontal="center" vertical="center"/>
    </xf>
    <xf numFmtId="2" fontId="36" fillId="0" borderId="0" xfId="0" applyNumberFormat="1" applyFont="1" applyBorder="1" applyAlignment="1">
      <alignment horizontal="center" vertical="center"/>
    </xf>
    <xf numFmtId="0" fontId="51" fillId="0" borderId="0" xfId="0" applyFont="1" applyBorder="1"/>
    <xf numFmtId="2" fontId="51" fillId="0" borderId="0" xfId="0" applyNumberFormat="1" applyFont="1" applyBorder="1"/>
    <xf numFmtId="2" fontId="51" fillId="0" borderId="0" xfId="0" applyNumberFormat="1" applyFont="1" applyBorder="1" applyAlignment="1">
      <alignment horizontal="center" vertical="center"/>
    </xf>
    <xf numFmtId="49" fontId="6" fillId="0" borderId="45" xfId="0" applyNumberFormat="1" applyFont="1" applyFill="1" applyBorder="1" applyAlignment="1">
      <alignment horizontal="right" vertical="center"/>
    </xf>
    <xf numFmtId="2" fontId="48" fillId="0" borderId="0" xfId="0" applyNumberFormat="1" applyFont="1" applyBorder="1" applyAlignment="1">
      <alignment horizontal="center" vertical="center"/>
    </xf>
    <xf numFmtId="2" fontId="32" fillId="0" borderId="0" xfId="0" applyNumberFormat="1" applyFont="1" applyFill="1" applyBorder="1"/>
    <xf numFmtId="0" fontId="36" fillId="0" borderId="0" xfId="0" applyFont="1" applyFill="1" applyBorder="1" applyAlignment="1">
      <alignment horizontal="center"/>
    </xf>
    <xf numFmtId="1" fontId="10" fillId="0" borderId="0" xfId="0" applyNumberFormat="1" applyFont="1" applyBorder="1"/>
    <xf numFmtId="2" fontId="36" fillId="0" borderId="0" xfId="0" applyNumberFormat="1" applyFont="1" applyBorder="1" applyAlignment="1">
      <alignment horizontal="center" vertical="center"/>
    </xf>
    <xf numFmtId="0" fontId="10" fillId="0" borderId="2" xfId="0" applyFont="1" applyFill="1" applyBorder="1"/>
    <xf numFmtId="0" fontId="7" fillId="0" borderId="2" xfId="0" applyFont="1" applyFill="1" applyBorder="1" applyAlignment="1">
      <alignment horizontal="center"/>
    </xf>
    <xf numFmtId="1" fontId="7" fillId="0" borderId="4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0" fontId="5" fillId="0" borderId="3" xfId="0" applyFont="1" applyFill="1" applyBorder="1" applyAlignment="1">
      <alignment horizontal="right" vertical="center"/>
    </xf>
    <xf numFmtId="0" fontId="10" fillId="0" borderId="8" xfId="0" applyFont="1" applyFill="1" applyBorder="1"/>
    <xf numFmtId="49" fontId="5" fillId="0" borderId="44" xfId="0" applyNumberFormat="1" applyFont="1" applyFill="1" applyBorder="1" applyAlignment="1">
      <alignment horizontal="right" vertical="center"/>
    </xf>
    <xf numFmtId="0" fontId="6" fillId="0" borderId="4" xfId="0" applyFont="1" applyFill="1" applyBorder="1"/>
    <xf numFmtId="49" fontId="6" fillId="0" borderId="2" xfId="0" applyNumberFormat="1" applyFont="1" applyFill="1" applyBorder="1"/>
    <xf numFmtId="10" fontId="6" fillId="0" borderId="8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1" fontId="6" fillId="0" borderId="18" xfId="0" applyNumberFormat="1" applyFont="1" applyFill="1" applyBorder="1" applyAlignment="1">
      <alignment horizontal="center" vertical="center"/>
    </xf>
    <xf numFmtId="49" fontId="5" fillId="0" borderId="40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/>
    </xf>
    <xf numFmtId="49" fontId="5" fillId="0" borderId="39" xfId="0" applyNumberFormat="1" applyFont="1" applyFill="1" applyBorder="1" applyAlignment="1">
      <alignment horizontal="right" vertical="center"/>
    </xf>
    <xf numFmtId="0" fontId="7" fillId="0" borderId="9" xfId="0" applyFont="1" applyFill="1" applyBorder="1" applyAlignment="1">
      <alignment wrapText="1"/>
    </xf>
    <xf numFmtId="0" fontId="6" fillId="0" borderId="9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6" fillId="0" borderId="8" xfId="0" applyNumberFormat="1" applyFont="1" applyFill="1" applyBorder="1"/>
    <xf numFmtId="49" fontId="6" fillId="0" borderId="46" xfId="0" applyNumberFormat="1" applyFont="1" applyFill="1" applyBorder="1" applyAlignment="1">
      <alignment horizontal="right" vertical="center"/>
    </xf>
    <xf numFmtId="49" fontId="6" fillId="0" borderId="36" xfId="0" applyNumberFormat="1" applyFont="1" applyFill="1" applyBorder="1" applyAlignment="1">
      <alignment wrapText="1"/>
    </xf>
    <xf numFmtId="0" fontId="6" fillId="0" borderId="36" xfId="0" applyFont="1" applyFill="1" applyBorder="1" applyAlignment="1">
      <alignment horizontal="center" vertical="center"/>
    </xf>
    <xf numFmtId="49" fontId="6" fillId="0" borderId="36" xfId="0" applyNumberFormat="1" applyFont="1" applyFill="1" applyBorder="1"/>
    <xf numFmtId="0" fontId="6" fillId="0" borderId="36" xfId="0" applyFont="1" applyFill="1" applyBorder="1" applyAlignment="1">
      <alignment horizontal="center" vertical="top"/>
    </xf>
    <xf numFmtId="0" fontId="6" fillId="0" borderId="18" xfId="0" applyFont="1" applyFill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16" fontId="5" fillId="0" borderId="3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wrapText="1"/>
    </xf>
    <xf numFmtId="49" fontId="5" fillId="0" borderId="3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wrapText="1"/>
    </xf>
    <xf numFmtId="49" fontId="6" fillId="0" borderId="44" xfId="0" applyNumberFormat="1" applyFont="1" applyFill="1" applyBorder="1" applyAlignment="1">
      <alignment horizontal="right" vertical="center"/>
    </xf>
    <xf numFmtId="0" fontId="7" fillId="0" borderId="27" xfId="0" applyFont="1" applyFill="1" applyBorder="1" applyAlignment="1">
      <alignment horizontal="center" wrapText="1"/>
    </xf>
    <xf numFmtId="1" fontId="6" fillId="0" borderId="2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165" fontId="6" fillId="0" borderId="4" xfId="0" applyNumberFormat="1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vertical="center"/>
    </xf>
    <xf numFmtId="49" fontId="10" fillId="0" borderId="3" xfId="0" applyNumberFormat="1" applyFont="1" applyFill="1" applyBorder="1" applyAlignment="1">
      <alignment horizontal="right" vertical="center"/>
    </xf>
    <xf numFmtId="49" fontId="15" fillId="0" borderId="3" xfId="0" applyNumberFormat="1" applyFont="1" applyFill="1" applyBorder="1" applyAlignment="1">
      <alignment horizontal="right" vertical="center"/>
    </xf>
    <xf numFmtId="1" fontId="6" fillId="0" borderId="4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right"/>
    </xf>
    <xf numFmtId="1" fontId="6" fillId="0" borderId="4" xfId="0" applyNumberFormat="1" applyFont="1" applyFill="1" applyBorder="1" applyAlignment="1">
      <alignment horizontal="center"/>
    </xf>
    <xf numFmtId="0" fontId="15" fillId="0" borderId="4" xfId="0" applyFont="1" applyFill="1" applyBorder="1"/>
    <xf numFmtId="49" fontId="6" fillId="0" borderId="22" xfId="0" applyNumberFormat="1" applyFont="1" applyFill="1" applyBorder="1" applyAlignment="1">
      <alignment horizontal="right"/>
    </xf>
    <xf numFmtId="0" fontId="6" fillId="0" borderId="6" xfId="0" applyFont="1" applyFill="1" applyBorder="1" applyAlignment="1">
      <alignment wrapText="1"/>
    </xf>
    <xf numFmtId="0" fontId="6" fillId="0" borderId="6" xfId="0" applyFont="1" applyFill="1" applyBorder="1" applyAlignment="1">
      <alignment horizontal="center"/>
    </xf>
    <xf numFmtId="1" fontId="6" fillId="0" borderId="7" xfId="0" applyNumberFormat="1" applyFont="1" applyFill="1" applyBorder="1" applyAlignment="1">
      <alignment horizontal="center" vertical="center"/>
    </xf>
    <xf numFmtId="0" fontId="10" fillId="4" borderId="37" xfId="0" applyFont="1" applyFill="1" applyBorder="1" applyAlignment="1">
      <alignment horizontal="right" vertical="top"/>
    </xf>
    <xf numFmtId="0" fontId="10" fillId="4" borderId="29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center"/>
    </xf>
    <xf numFmtId="16" fontId="6" fillId="0" borderId="3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wrapText="1"/>
    </xf>
    <xf numFmtId="49" fontId="10" fillId="4" borderId="3" xfId="0" applyNumberFormat="1" applyFont="1" applyFill="1" applyBorder="1" applyAlignment="1">
      <alignment horizontal="right" vertical="center"/>
    </xf>
    <xf numFmtId="0" fontId="10" fillId="4" borderId="2" xfId="0" applyFont="1" applyFill="1" applyBorder="1"/>
    <xf numFmtId="0" fontId="6" fillId="4" borderId="2" xfId="0" applyFont="1" applyFill="1" applyBorder="1"/>
    <xf numFmtId="1" fontId="6" fillId="4" borderId="4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2" borderId="47" xfId="0" applyFont="1" applyFill="1" applyBorder="1" applyAlignment="1">
      <alignment horizontal="right" vertical="center"/>
    </xf>
    <xf numFmtId="0" fontId="6" fillId="2" borderId="41" xfId="0" applyFont="1" applyFill="1" applyBorder="1" applyAlignment="1">
      <alignment horizontal="center" vertical="center"/>
    </xf>
    <xf numFmtId="1" fontId="6" fillId="2" borderId="48" xfId="0" applyNumberFormat="1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/>
    </xf>
    <xf numFmtId="1" fontId="7" fillId="4" borderId="30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right" vertical="center"/>
    </xf>
    <xf numFmtId="0" fontId="6" fillId="0" borderId="0" xfId="0" applyFont="1" applyAlignment="1">
      <alignment wrapText="1"/>
    </xf>
    <xf numFmtId="49" fontId="5" fillId="4" borderId="2" xfId="0" applyNumberFormat="1" applyFont="1" applyFill="1" applyBorder="1"/>
    <xf numFmtId="1" fontId="6" fillId="4" borderId="4" xfId="0" applyNumberFormat="1" applyFont="1" applyFill="1" applyBorder="1" applyAlignment="1">
      <alignment horizontal="center" vertical="center"/>
    </xf>
    <xf numFmtId="49" fontId="6" fillId="0" borderId="40" xfId="0" applyNumberFormat="1" applyFont="1" applyFill="1" applyBorder="1" applyAlignment="1">
      <alignment horizontal="right"/>
    </xf>
    <xf numFmtId="49" fontId="6" fillId="0" borderId="45" xfId="0" applyNumberFormat="1" applyFont="1" applyFill="1" applyBorder="1" applyAlignment="1">
      <alignment horizontal="right"/>
    </xf>
    <xf numFmtId="49" fontId="6" fillId="0" borderId="45" xfId="0" applyNumberFormat="1" applyFont="1" applyFill="1" applyBorder="1"/>
    <xf numFmtId="1" fontId="6" fillId="0" borderId="20" xfId="0" applyNumberFormat="1" applyFont="1" applyFill="1" applyBorder="1" applyAlignment="1">
      <alignment horizontal="center" vertical="center"/>
    </xf>
    <xf numFmtId="49" fontId="6" fillId="0" borderId="46" xfId="0" applyNumberFormat="1" applyFont="1" applyFill="1" applyBorder="1" applyAlignment="1">
      <alignment horizontal="right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11" fillId="0" borderId="2" xfId="0" applyFont="1" applyFill="1" applyBorder="1"/>
    <xf numFmtId="0" fontId="57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wrapText="1"/>
    </xf>
    <xf numFmtId="1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right" vertical="top"/>
    </xf>
    <xf numFmtId="0" fontId="7" fillId="0" borderId="0" xfId="0" applyFont="1" applyBorder="1" applyAlignment="1">
      <alignment horizontal="left" vertical="center" wrapText="1"/>
    </xf>
    <xf numFmtId="1" fontId="6" fillId="0" borderId="0" xfId="0" applyNumberFormat="1" applyFont="1" applyFill="1" applyAlignment="1">
      <alignment vertical="center"/>
    </xf>
    <xf numFmtId="1" fontId="6" fillId="0" borderId="0" xfId="0" applyNumberFormat="1" applyFont="1" applyAlignment="1">
      <alignment vertical="center"/>
    </xf>
    <xf numFmtId="49" fontId="5" fillId="4" borderId="3" xfId="0" applyNumberFormat="1" applyFont="1" applyFill="1" applyBorder="1" applyAlignment="1">
      <alignment horizontal="right" vertical="center"/>
    </xf>
    <xf numFmtId="0" fontId="5" fillId="4" borderId="2" xfId="0" applyFont="1" applyFill="1" applyBorder="1"/>
    <xf numFmtId="0" fontId="7" fillId="4" borderId="2" xfId="0" applyFont="1" applyFill="1" applyBorder="1" applyAlignment="1">
      <alignment horizontal="center" wrapText="1"/>
    </xf>
    <xf numFmtId="0" fontId="57" fillId="0" borderId="0" xfId="0" applyFont="1" applyBorder="1" applyAlignment="1">
      <alignment vertical="center" wrapText="1"/>
    </xf>
    <xf numFmtId="0" fontId="57" fillId="0" borderId="26" xfId="0" applyFont="1" applyBorder="1" applyAlignment="1">
      <alignment vertical="center" wrapText="1"/>
    </xf>
    <xf numFmtId="0" fontId="57" fillId="0" borderId="0" xfId="0" applyFont="1" applyBorder="1" applyAlignment="1">
      <alignment vertical="center"/>
    </xf>
    <xf numFmtId="0" fontId="57" fillId="0" borderId="26" xfId="0" applyFont="1" applyBorder="1" applyAlignment="1">
      <alignment vertical="center"/>
    </xf>
    <xf numFmtId="0" fontId="2" fillId="0" borderId="0" xfId="0" applyFont="1"/>
    <xf numFmtId="49" fontId="6" fillId="0" borderId="2" xfId="0" applyNumberFormat="1" applyFont="1" applyFill="1" applyBorder="1" applyAlignment="1">
      <alignment horizontal="right" vertical="center"/>
    </xf>
    <xf numFmtId="1" fontId="6" fillId="0" borderId="2" xfId="0" applyNumberFormat="1" applyFont="1" applyFill="1" applyBorder="1" applyAlignment="1">
      <alignment horizontal="center" vertical="center"/>
    </xf>
    <xf numFmtId="0" fontId="31" fillId="0" borderId="0" xfId="0" applyFont="1" applyFill="1"/>
    <xf numFmtId="0" fontId="45" fillId="0" borderId="12" xfId="0" applyFont="1" applyFill="1" applyBorder="1" applyAlignment="1">
      <alignment horizontal="center"/>
    </xf>
    <xf numFmtId="0" fontId="45" fillId="0" borderId="31" xfId="0" applyFont="1" applyFill="1" applyBorder="1" applyAlignment="1">
      <alignment horizontal="center" vertical="center"/>
    </xf>
    <xf numFmtId="2" fontId="36" fillId="0" borderId="34" xfId="0" applyNumberFormat="1" applyFont="1" applyFill="1" applyBorder="1" applyAlignment="1">
      <alignment horizontal="center" vertical="center"/>
    </xf>
    <xf numFmtId="0" fontId="6" fillId="0" borderId="34" xfId="0" applyFont="1" applyFill="1" applyBorder="1"/>
    <xf numFmtId="165" fontId="45" fillId="0" borderId="24" xfId="0" applyNumberFormat="1" applyFont="1" applyFill="1" applyBorder="1"/>
    <xf numFmtId="165" fontId="10" fillId="0" borderId="34" xfId="0" applyNumberFormat="1" applyFont="1" applyFill="1" applyBorder="1"/>
    <xf numFmtId="2" fontId="45" fillId="0" borderId="0" xfId="0" applyNumberFormat="1" applyFont="1" applyFill="1" applyBorder="1" applyAlignment="1">
      <alignment horizontal="center" vertical="center"/>
    </xf>
    <xf numFmtId="2" fontId="32" fillId="0" borderId="21" xfId="0" applyNumberFormat="1" applyFont="1" applyFill="1" applyBorder="1"/>
    <xf numFmtId="2" fontId="32" fillId="0" borderId="24" xfId="0" applyNumberFormat="1" applyFont="1" applyFill="1" applyBorder="1"/>
    <xf numFmtId="2" fontId="10" fillId="0" borderId="0" xfId="0" applyNumberFormat="1" applyFont="1" applyFill="1" applyBorder="1"/>
    <xf numFmtId="2" fontId="40" fillId="0" borderId="0" xfId="0" applyNumberFormat="1" applyFont="1" applyFill="1" applyBorder="1"/>
    <xf numFmtId="2" fontId="36" fillId="0" borderId="0" xfId="0" applyNumberFormat="1" applyFont="1" applyFill="1" applyBorder="1"/>
    <xf numFmtId="2" fontId="45" fillId="0" borderId="2" xfId="0" applyNumberFormat="1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 wrapText="1"/>
    </xf>
    <xf numFmtId="0" fontId="46" fillId="0" borderId="17" xfId="0" applyFont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 wrapText="1"/>
    </xf>
    <xf numFmtId="0" fontId="46" fillId="0" borderId="24" xfId="0" applyFont="1" applyBorder="1" applyAlignment="1">
      <alignment horizontal="center" vertical="center" wrapText="1"/>
    </xf>
    <xf numFmtId="0" fontId="46" fillId="0" borderId="11" xfId="0" applyFont="1" applyBorder="1" applyAlignment="1">
      <alignment horizontal="center" textRotation="90" wrapText="1"/>
    </xf>
    <xf numFmtId="0" fontId="46" fillId="0" borderId="32" xfId="0" applyFont="1" applyBorder="1" applyAlignment="1">
      <alignment horizontal="center" textRotation="90" wrapText="1"/>
    </xf>
    <xf numFmtId="0" fontId="46" fillId="0" borderId="11" xfId="0" applyFont="1" applyBorder="1" applyAlignment="1">
      <alignment horizontal="center"/>
    </xf>
    <xf numFmtId="0" fontId="45" fillId="0" borderId="3" xfId="0" applyFont="1" applyBorder="1" applyAlignment="1">
      <alignment horizontal="right" vertical="center"/>
    </xf>
    <xf numFmtId="166" fontId="45" fillId="0" borderId="2" xfId="0" applyNumberFormat="1" applyFont="1" applyBorder="1" applyAlignment="1">
      <alignment horizontal="center" vertical="center"/>
    </xf>
    <xf numFmtId="2" fontId="45" fillId="0" borderId="18" xfId="0" applyNumberFormat="1" applyFont="1" applyBorder="1" applyAlignment="1">
      <alignment horizontal="center" vertical="center"/>
    </xf>
    <xf numFmtId="2" fontId="45" fillId="0" borderId="20" xfId="0" applyNumberFormat="1" applyFont="1" applyBorder="1" applyAlignment="1">
      <alignment horizontal="center" vertical="center"/>
    </xf>
    <xf numFmtId="0" fontId="45" fillId="0" borderId="5" xfId="0" applyFont="1" applyBorder="1" applyAlignment="1">
      <alignment horizontal="right" vertical="center"/>
    </xf>
    <xf numFmtId="166" fontId="45" fillId="0" borderId="8" xfId="0" applyNumberFormat="1" applyFont="1" applyBorder="1" applyAlignment="1">
      <alignment horizontal="center" vertical="center"/>
    </xf>
    <xf numFmtId="2" fontId="45" fillId="0" borderId="8" xfId="0" applyNumberFormat="1" applyFont="1" applyBorder="1" applyAlignment="1">
      <alignment horizontal="center" vertical="center"/>
    </xf>
    <xf numFmtId="0" fontId="46" fillId="0" borderId="15" xfId="0" applyFont="1" applyBorder="1" applyAlignment="1">
      <alignment horizontal="center" wrapText="1"/>
    </xf>
    <xf numFmtId="0" fontId="46" fillId="0" borderId="16" xfId="0" applyFont="1" applyBorder="1" applyAlignment="1">
      <alignment horizontal="center" wrapText="1"/>
    </xf>
    <xf numFmtId="0" fontId="46" fillId="0" borderId="17" xfId="0" applyFont="1" applyBorder="1" applyAlignment="1">
      <alignment horizontal="center" wrapText="1"/>
    </xf>
    <xf numFmtId="0" fontId="45" fillId="0" borderId="39" xfId="0" applyFont="1" applyBorder="1" applyAlignment="1">
      <alignment horizontal="left" vertical="center"/>
    </xf>
    <xf numFmtId="0" fontId="45" fillId="0" borderId="3" xfId="0" applyFont="1" applyBorder="1" applyAlignment="1">
      <alignment horizontal="left" vertical="center"/>
    </xf>
    <xf numFmtId="166" fontId="45" fillId="0" borderId="9" xfId="0" applyNumberFormat="1" applyFont="1" applyBorder="1" applyAlignment="1">
      <alignment horizontal="center" vertical="center"/>
    </xf>
    <xf numFmtId="2" fontId="45" fillId="0" borderId="9" xfId="0" applyNumberFormat="1" applyFont="1" applyBorder="1" applyAlignment="1">
      <alignment horizontal="center" vertical="center"/>
    </xf>
    <xf numFmtId="2" fontId="36" fillId="0" borderId="0" xfId="0" applyNumberFormat="1" applyFont="1" applyBorder="1" applyAlignment="1">
      <alignment horizontal="center" vertical="center"/>
    </xf>
    <xf numFmtId="2" fontId="45" fillId="0" borderId="28" xfId="0" applyNumberFormat="1" applyFont="1" applyBorder="1" applyAlignment="1">
      <alignment horizontal="center" vertical="center"/>
    </xf>
    <xf numFmtId="2" fontId="45" fillId="0" borderId="10" xfId="0" applyNumberFormat="1" applyFont="1" applyBorder="1" applyAlignment="1">
      <alignment horizontal="center" vertical="center"/>
    </xf>
    <xf numFmtId="2" fontId="45" fillId="0" borderId="29" xfId="0" applyNumberFormat="1" applyFont="1" applyBorder="1" applyAlignment="1">
      <alignment horizontal="center" vertical="center"/>
    </xf>
    <xf numFmtId="2" fontId="45" fillId="0" borderId="30" xfId="0" applyNumberFormat="1" applyFont="1" applyBorder="1" applyAlignment="1">
      <alignment horizontal="center" vertical="center"/>
    </xf>
    <xf numFmtId="2" fontId="45" fillId="0" borderId="4" xfId="0" applyNumberFormat="1" applyFont="1" applyBorder="1" applyAlignment="1">
      <alignment horizontal="center" vertical="center"/>
    </xf>
    <xf numFmtId="0" fontId="46" fillId="0" borderId="0" xfId="0" applyFont="1" applyBorder="1" applyAlignment="1">
      <alignment horizontal="left"/>
    </xf>
    <xf numFmtId="0" fontId="46" fillId="0" borderId="12" xfId="0" applyFont="1" applyBorder="1" applyAlignment="1">
      <alignment horizontal="center" textRotation="90" wrapText="1"/>
    </xf>
    <xf numFmtId="0" fontId="46" fillId="0" borderId="31" xfId="0" applyFont="1" applyBorder="1" applyAlignment="1">
      <alignment horizontal="center" textRotation="90" wrapText="1"/>
    </xf>
    <xf numFmtId="0" fontId="46" fillId="0" borderId="13" xfId="0" applyFont="1" applyBorder="1" applyAlignment="1">
      <alignment horizontal="center" textRotation="90" wrapText="1"/>
    </xf>
    <xf numFmtId="0" fontId="46" fillId="0" borderId="22" xfId="0" applyFont="1" applyBorder="1" applyAlignment="1">
      <alignment horizontal="center" vertical="top" wrapText="1"/>
    </xf>
    <xf numFmtId="0" fontId="46" fillId="0" borderId="23" xfId="0" applyFont="1" applyBorder="1" applyAlignment="1">
      <alignment horizontal="center" vertical="top" wrapText="1"/>
    </xf>
    <xf numFmtId="0" fontId="46" fillId="0" borderId="24" xfId="0" applyFont="1" applyBorder="1" applyAlignment="1">
      <alignment horizontal="center" vertical="top" wrapText="1"/>
    </xf>
    <xf numFmtId="0" fontId="45" fillId="0" borderId="37" xfId="0" applyFont="1" applyBorder="1" applyAlignment="1">
      <alignment horizontal="right" vertical="center"/>
    </xf>
    <xf numFmtId="0" fontId="45" fillId="0" borderId="29" xfId="0" applyFont="1" applyBorder="1" applyAlignment="1">
      <alignment horizontal="center" vertical="center"/>
    </xf>
    <xf numFmtId="0" fontId="45" fillId="0" borderId="2" xfId="0" applyFont="1" applyBorder="1" applyAlignment="1">
      <alignment horizontal="center" vertical="center"/>
    </xf>
    <xf numFmtId="2" fontId="36" fillId="0" borderId="0" xfId="0" applyNumberFormat="1" applyFont="1" applyFill="1" applyBorder="1" applyAlignment="1">
      <alignment horizontal="center" vertical="center"/>
    </xf>
    <xf numFmtId="0" fontId="45" fillId="0" borderId="40" xfId="0" applyFont="1" applyBorder="1" applyAlignment="1">
      <alignment horizontal="right" vertical="center"/>
    </xf>
    <xf numFmtId="0" fontId="10" fillId="0" borderId="0" xfId="0" applyFont="1" applyBorder="1" applyAlignment="1">
      <alignment horizontal="center" vertical="top" wrapText="1"/>
    </xf>
    <xf numFmtId="0" fontId="37" fillId="0" borderId="0" xfId="0" applyFont="1" applyBorder="1" applyAlignment="1">
      <alignment horizontal="center"/>
    </xf>
    <xf numFmtId="0" fontId="46" fillId="0" borderId="16" xfId="0" applyFont="1" applyBorder="1" applyAlignment="1">
      <alignment horizontal="center" vertical="top" wrapText="1"/>
    </xf>
    <xf numFmtId="0" fontId="46" fillId="0" borderId="17" xfId="0" applyFont="1" applyBorder="1" applyAlignment="1">
      <alignment horizontal="center" vertical="top" wrapText="1"/>
    </xf>
    <xf numFmtId="0" fontId="37" fillId="0" borderId="0" xfId="0" applyFont="1" applyBorder="1" applyAlignment="1">
      <alignment horizontal="center" wrapText="1"/>
    </xf>
    <xf numFmtId="0" fontId="37" fillId="0" borderId="0" xfId="0" applyFont="1" applyBorder="1" applyAlignment="1">
      <alignment horizontal="center" vertical="top" wrapText="1"/>
    </xf>
    <xf numFmtId="0" fontId="46" fillId="0" borderId="15" xfId="0" applyFont="1" applyBorder="1" applyAlignment="1">
      <alignment horizontal="center"/>
    </xf>
    <xf numFmtId="0" fontId="46" fillId="0" borderId="16" xfId="0" applyFont="1" applyBorder="1" applyAlignment="1">
      <alignment horizontal="center"/>
    </xf>
    <xf numFmtId="0" fontId="46" fillId="0" borderId="17" xfId="0" applyFont="1" applyBorder="1" applyAlignment="1">
      <alignment horizontal="center"/>
    </xf>
    <xf numFmtId="2" fontId="45" fillId="0" borderId="27" xfId="0" applyNumberFormat="1" applyFont="1" applyBorder="1" applyAlignment="1">
      <alignment horizontal="center" vertical="center"/>
    </xf>
    <xf numFmtId="2" fontId="45" fillId="0" borderId="52" xfId="0" applyNumberFormat="1" applyFont="1" applyBorder="1" applyAlignment="1">
      <alignment horizontal="center" vertical="center"/>
    </xf>
    <xf numFmtId="2" fontId="45" fillId="0" borderId="38" xfId="0" applyNumberFormat="1" applyFont="1" applyBorder="1" applyAlignment="1">
      <alignment horizontal="center" vertical="center"/>
    </xf>
    <xf numFmtId="2" fontId="45" fillId="0" borderId="35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 vertical="top" wrapText="1"/>
    </xf>
    <xf numFmtId="0" fontId="46" fillId="0" borderId="15" xfId="0" applyFont="1" applyBorder="1" applyAlignment="1">
      <alignment horizontal="center" vertical="top" wrapText="1"/>
    </xf>
    <xf numFmtId="0" fontId="36" fillId="0" borderId="0" xfId="0" applyFont="1" applyBorder="1" applyAlignment="1">
      <alignment horizontal="center" textRotation="90" wrapText="1"/>
    </xf>
    <xf numFmtId="2" fontId="45" fillId="0" borderId="25" xfId="0" applyNumberFormat="1" applyFont="1" applyFill="1" applyBorder="1" applyAlignment="1">
      <alignment horizontal="center" vertical="center"/>
    </xf>
    <xf numFmtId="2" fontId="45" fillId="0" borderId="19" xfId="0" applyNumberFormat="1" applyFont="1" applyFill="1" applyBorder="1" applyAlignment="1">
      <alignment horizontal="center" vertical="center"/>
    </xf>
    <xf numFmtId="2" fontId="45" fillId="0" borderId="20" xfId="0" applyNumberFormat="1" applyFont="1" applyFill="1" applyBorder="1" applyAlignment="1">
      <alignment horizontal="center" vertical="center"/>
    </xf>
    <xf numFmtId="2" fontId="45" fillId="0" borderId="4" xfId="0" applyNumberFormat="1" applyFont="1" applyFill="1" applyBorder="1" applyAlignment="1">
      <alignment horizontal="center" vertical="center"/>
    </xf>
    <xf numFmtId="166" fontId="45" fillId="0" borderId="6" xfId="0" applyNumberFormat="1" applyFont="1" applyBorder="1" applyAlignment="1">
      <alignment horizontal="center" vertical="center"/>
    </xf>
    <xf numFmtId="2" fontId="45" fillId="0" borderId="6" xfId="0" applyNumberFormat="1" applyFont="1" applyBorder="1" applyAlignment="1">
      <alignment horizontal="center" vertical="center"/>
    </xf>
    <xf numFmtId="2" fontId="45" fillId="0" borderId="18" xfId="0" applyNumberFormat="1" applyFont="1" applyFill="1" applyBorder="1" applyAlignment="1">
      <alignment horizontal="center" vertical="center"/>
    </xf>
    <xf numFmtId="0" fontId="45" fillId="0" borderId="9" xfId="0" applyFont="1" applyBorder="1" applyAlignment="1">
      <alignment horizontal="left" vertical="center"/>
    </xf>
    <xf numFmtId="0" fontId="45" fillId="0" borderId="2" xfId="0" applyFont="1" applyBorder="1" applyAlignment="1">
      <alignment horizontal="left" vertical="center"/>
    </xf>
    <xf numFmtId="0" fontId="45" fillId="0" borderId="15" xfId="0" applyFont="1" applyBorder="1" applyAlignment="1">
      <alignment horizontal="center" vertical="center" wrapText="1"/>
    </xf>
    <xf numFmtId="0" fontId="45" fillId="0" borderId="17" xfId="0" applyFont="1" applyBorder="1" applyAlignment="1">
      <alignment horizontal="center" vertical="center" wrapText="1"/>
    </xf>
    <xf numFmtId="0" fontId="45" fillId="0" borderId="22" xfId="0" applyFont="1" applyBorder="1" applyAlignment="1">
      <alignment horizontal="center" vertical="center" wrapText="1"/>
    </xf>
    <xf numFmtId="0" fontId="45" fillId="0" borderId="24" xfId="0" applyFont="1" applyBorder="1" applyAlignment="1">
      <alignment horizontal="center" vertical="center" wrapText="1"/>
    </xf>
    <xf numFmtId="0" fontId="45" fillId="0" borderId="11" xfId="0" applyFont="1" applyBorder="1" applyAlignment="1">
      <alignment horizontal="center" textRotation="90" wrapText="1"/>
    </xf>
    <xf numFmtId="0" fontId="45" fillId="0" borderId="32" xfId="0" applyFont="1" applyBorder="1" applyAlignment="1">
      <alignment horizontal="center" textRotation="90" wrapText="1"/>
    </xf>
    <xf numFmtId="0" fontId="45" fillId="0" borderId="11" xfId="0" applyFont="1" applyBorder="1" applyAlignment="1">
      <alignment horizontal="center"/>
    </xf>
    <xf numFmtId="0" fontId="45" fillId="0" borderId="16" xfId="0" applyFont="1" applyBorder="1" applyAlignment="1">
      <alignment horizontal="center" vertical="top" wrapText="1"/>
    </xf>
    <xf numFmtId="0" fontId="45" fillId="0" borderId="17" xfId="0" applyFont="1" applyBorder="1" applyAlignment="1">
      <alignment horizontal="center" vertical="top" wrapText="1"/>
    </xf>
    <xf numFmtId="0" fontId="45" fillId="0" borderId="1" xfId="0" applyFont="1" applyBorder="1" applyAlignment="1">
      <alignment horizontal="right" vertical="center"/>
    </xf>
    <xf numFmtId="0" fontId="45" fillId="0" borderId="39" xfId="0" applyFont="1" applyBorder="1" applyAlignment="1">
      <alignment horizontal="right" vertical="center"/>
    </xf>
    <xf numFmtId="0" fontId="45" fillId="0" borderId="28" xfId="0" applyFont="1" applyBorder="1" applyAlignment="1">
      <alignment horizontal="center" vertical="center"/>
    </xf>
    <xf numFmtId="0" fontId="45" fillId="0" borderId="9" xfId="0" applyFont="1" applyBorder="1" applyAlignment="1">
      <alignment horizontal="center" vertical="center"/>
    </xf>
    <xf numFmtId="0" fontId="45" fillId="0" borderId="37" xfId="0" applyFont="1" applyBorder="1" applyAlignment="1">
      <alignment horizontal="center" vertical="top" wrapText="1"/>
    </xf>
    <xf numFmtId="0" fontId="45" fillId="0" borderId="29" xfId="0" applyFont="1" applyBorder="1" applyAlignment="1">
      <alignment horizontal="center" vertical="top" wrapText="1"/>
    </xf>
    <xf numFmtId="0" fontId="45" fillId="0" borderId="3" xfId="0" applyFont="1" applyBorder="1" applyAlignment="1">
      <alignment horizontal="center" vertical="top" wrapText="1"/>
    </xf>
    <xf numFmtId="0" fontId="45" fillId="0" borderId="2" xfId="0" applyFont="1" applyBorder="1" applyAlignment="1">
      <alignment horizontal="center" vertical="top" wrapText="1"/>
    </xf>
    <xf numFmtId="0" fontId="45" fillId="0" borderId="29" xfId="0" applyFont="1" applyBorder="1" applyAlignment="1">
      <alignment horizontal="center" vertical="top" textRotation="90" wrapText="1"/>
    </xf>
    <xf numFmtId="0" fontId="45" fillId="0" borderId="2" xfId="0" applyFont="1" applyBorder="1" applyAlignment="1">
      <alignment horizontal="center" vertical="top" textRotation="90" wrapText="1"/>
    </xf>
    <xf numFmtId="0" fontId="45" fillId="0" borderId="29" xfId="0" applyFont="1" applyBorder="1" applyAlignment="1">
      <alignment horizontal="center" vertical="top"/>
    </xf>
    <xf numFmtId="0" fontId="45" fillId="0" borderId="30" xfId="0" applyFont="1" applyBorder="1" applyAlignment="1">
      <alignment horizontal="center" vertical="top"/>
    </xf>
    <xf numFmtId="0" fontId="45" fillId="0" borderId="4" xfId="0" applyFont="1" applyBorder="1" applyAlignment="1">
      <alignment horizontal="center" vertical="top" wrapText="1"/>
    </xf>
    <xf numFmtId="0" fontId="2" fillId="0" borderId="0" xfId="0" applyFont="1" applyFill="1"/>
    <xf numFmtId="0" fontId="6" fillId="0" borderId="0" xfId="0" applyFont="1" applyFill="1" applyAlignment="1">
      <alignment horizontal="center"/>
    </xf>
  </cellXfs>
  <cellStyles count="3">
    <cellStyle name="Čárka" xfId="1" builtin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335703</xdr:colOff>
      <xdr:row>27</xdr:row>
      <xdr:rowOff>9524</xdr:rowOff>
    </xdr:from>
    <xdr:to>
      <xdr:col>3</xdr:col>
      <xdr:colOff>621309</xdr:colOff>
      <xdr:row>34</xdr:row>
      <xdr:rowOff>114300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15ECD18-2C68-43DA-86DF-9B5588707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1528" y="5181599"/>
          <a:ext cx="1438131" cy="14382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146956</xdr:colOff>
      <xdr:row>32</xdr:row>
      <xdr:rowOff>131016</xdr:rowOff>
    </xdr:from>
    <xdr:to>
      <xdr:col>7</xdr:col>
      <xdr:colOff>43542</xdr:colOff>
      <xdr:row>39</xdr:row>
      <xdr:rowOff>172225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9A48FFF-22C5-4610-9E9A-C7B8658B16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594"/>
        <a:stretch>
          <a:fillRect/>
        </a:stretch>
      </xdr:blipFill>
      <xdr:spPr bwMode="auto">
        <a:xfrm>
          <a:off x="3042556" y="6210687"/>
          <a:ext cx="1295400" cy="13747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276225</xdr:colOff>
      <xdr:row>11</xdr:row>
      <xdr:rowOff>121131</xdr:rowOff>
    </xdr:from>
    <xdr:to>
      <xdr:col>6</xdr:col>
      <xdr:colOff>6803</xdr:colOff>
      <xdr:row>20</xdr:row>
      <xdr:rowOff>48927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E6AF4AD4-1255-425B-89EE-7559A2A9F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2216631"/>
          <a:ext cx="3552825" cy="1642296"/>
        </a:xfrm>
        <a:prstGeom prst="rect">
          <a:avLst/>
        </a:prstGeom>
      </xdr:spPr>
    </xdr:pic>
    <xdr:clientData/>
  </xdr:twoCellAnchor>
  <xdr:twoCellAnchor>
    <xdr:from>
      <xdr:col>7</xdr:col>
      <xdr:colOff>409575</xdr:colOff>
      <xdr:row>42</xdr:row>
      <xdr:rowOff>161925</xdr:rowOff>
    </xdr:from>
    <xdr:to>
      <xdr:col>9</xdr:col>
      <xdr:colOff>200025</xdr:colOff>
      <xdr:row>47</xdr:row>
      <xdr:rowOff>85725</xdr:rowOff>
    </xdr:to>
    <xdr:pic>
      <xdr:nvPicPr>
        <xdr:cNvPr id="5" name="Obrázek 1">
          <a:extLst>
            <a:ext uri="{FF2B5EF4-FFF2-40B4-BE49-F238E27FC236}">
              <a16:creationId xmlns:a16="http://schemas.microsoft.com/office/drawing/2014/main" id="{1549E7D8-5A90-472B-A0CB-19FCF4D7E9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8172450"/>
          <a:ext cx="1009650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6"/>
  <sheetViews>
    <sheetView tabSelected="1" topLeftCell="A133" zoomScale="133" zoomScaleNormal="133" zoomScaleSheetLayoutView="85" workbookViewId="0">
      <selection activeCell="E126" sqref="E126"/>
    </sheetView>
  </sheetViews>
  <sheetFormatPr defaultRowHeight="15" x14ac:dyDescent="0.25"/>
  <cols>
    <col min="1" max="1" width="7.5703125" style="322" customWidth="1"/>
    <col min="2" max="2" width="54.5703125" style="5" customWidth="1"/>
    <col min="3" max="3" width="11" style="5" customWidth="1"/>
    <col min="4" max="4" width="14" style="659" customWidth="1"/>
    <col min="5" max="16384" width="9.140625" style="5"/>
  </cols>
  <sheetData>
    <row r="1" spans="1:4" x14ac:dyDescent="0.25">
      <c r="A1" s="58" t="s">
        <v>19</v>
      </c>
      <c r="B1" s="59"/>
      <c r="D1" s="633"/>
    </row>
    <row r="2" spans="1:4" ht="15.75" customHeight="1" x14ac:dyDescent="0.25">
      <c r="A2" s="60" t="s">
        <v>17</v>
      </c>
      <c r="B2" s="59"/>
      <c r="D2" s="633"/>
    </row>
    <row r="3" spans="1:4" ht="15.75" customHeight="1" x14ac:dyDescent="0.25">
      <c r="A3" s="61" t="s">
        <v>0</v>
      </c>
      <c r="B3" s="200"/>
      <c r="D3" s="633"/>
    </row>
    <row r="4" spans="1:4" x14ac:dyDescent="0.25">
      <c r="A4" s="61" t="s">
        <v>1</v>
      </c>
      <c r="B4" s="200"/>
      <c r="D4" s="633"/>
    </row>
    <row r="5" spans="1:4" x14ac:dyDescent="0.25">
      <c r="A5" s="201" t="s">
        <v>779</v>
      </c>
      <c r="B5" s="200"/>
      <c r="D5" s="633"/>
    </row>
    <row r="6" spans="1:4" x14ac:dyDescent="0.25">
      <c r="A6" s="5"/>
      <c r="D6" s="633"/>
    </row>
    <row r="7" spans="1:4" ht="18" x14ac:dyDescent="0.25">
      <c r="A7" s="2" t="s">
        <v>18</v>
      </c>
      <c r="D7" s="633"/>
    </row>
    <row r="8" spans="1:4" ht="15.75" thickBot="1" x14ac:dyDescent="0.3">
      <c r="A8" s="60" t="s">
        <v>429</v>
      </c>
      <c r="B8" s="43"/>
      <c r="D8" s="633"/>
    </row>
    <row r="9" spans="1:4" ht="15.75" thickBot="1" x14ac:dyDescent="0.3">
      <c r="A9" s="634" t="s">
        <v>2</v>
      </c>
      <c r="B9" s="635" t="s">
        <v>3</v>
      </c>
      <c r="C9" s="635" t="s">
        <v>4</v>
      </c>
      <c r="D9" s="636" t="s">
        <v>16</v>
      </c>
    </row>
    <row r="10" spans="1:4" x14ac:dyDescent="0.25">
      <c r="A10" s="623">
        <v>1</v>
      </c>
      <c r="B10" s="624" t="s">
        <v>65</v>
      </c>
      <c r="C10" s="637"/>
      <c r="D10" s="638"/>
    </row>
    <row r="11" spans="1:4" x14ac:dyDescent="0.25">
      <c r="A11" s="45"/>
      <c r="B11" s="565" t="s">
        <v>210</v>
      </c>
      <c r="C11" s="566"/>
      <c r="D11" s="567"/>
    </row>
    <row r="12" spans="1:4" x14ac:dyDescent="0.25">
      <c r="A12" s="639" t="s">
        <v>20</v>
      </c>
      <c r="B12" s="476" t="s">
        <v>430</v>
      </c>
      <c r="C12" s="568" t="s">
        <v>205</v>
      </c>
      <c r="D12" s="567">
        <f>'SO_05_KL1_zemní práce'!I20</f>
        <v>99.2</v>
      </c>
    </row>
    <row r="13" spans="1:4" ht="25.5" x14ac:dyDescent="0.25">
      <c r="A13" s="640"/>
      <c r="B13" s="46" t="s">
        <v>326</v>
      </c>
      <c r="C13" s="475"/>
      <c r="D13" s="569"/>
    </row>
    <row r="14" spans="1:4" x14ac:dyDescent="0.25">
      <c r="A14" s="639" t="s">
        <v>62</v>
      </c>
      <c r="B14" s="476" t="s">
        <v>28</v>
      </c>
      <c r="C14" s="475" t="s">
        <v>205</v>
      </c>
      <c r="D14" s="569">
        <f>'SO_05_KL1_zemní práce'!I26</f>
        <v>8.1000000000000014</v>
      </c>
    </row>
    <row r="15" spans="1:4" x14ac:dyDescent="0.25">
      <c r="A15" s="639" t="s">
        <v>66</v>
      </c>
      <c r="B15" s="47" t="s">
        <v>328</v>
      </c>
      <c r="C15" s="475" t="s">
        <v>63</v>
      </c>
      <c r="D15" s="569">
        <f>'SO_05_KL1_zemní práce'!G40</f>
        <v>166.25899999999999</v>
      </c>
    </row>
    <row r="16" spans="1:4" ht="29.25" customHeight="1" x14ac:dyDescent="0.25">
      <c r="A16" s="639"/>
      <c r="B16" s="46" t="s">
        <v>431</v>
      </c>
      <c r="C16" s="475"/>
      <c r="D16" s="569"/>
    </row>
    <row r="17" spans="1:7" ht="26.25" x14ac:dyDescent="0.25">
      <c r="A17" s="639" t="s">
        <v>67</v>
      </c>
      <c r="B17" s="570" t="s">
        <v>563</v>
      </c>
      <c r="C17" s="475" t="s">
        <v>7</v>
      </c>
      <c r="D17" s="569">
        <f>'SO_05_KL1_zemní práce'!I45</f>
        <v>118</v>
      </c>
      <c r="E17" s="641"/>
      <c r="F17" s="641"/>
      <c r="G17" s="641"/>
    </row>
    <row r="18" spans="1:7" x14ac:dyDescent="0.25">
      <c r="A18" s="639" t="s">
        <v>68</v>
      </c>
      <c r="B18" s="48" t="s">
        <v>432</v>
      </c>
      <c r="C18" s="475" t="s">
        <v>7</v>
      </c>
      <c r="D18" s="569">
        <f>'SO_05_KL1_zemní práce'!I47</f>
        <v>40</v>
      </c>
    </row>
    <row r="19" spans="1:7" x14ac:dyDescent="0.25">
      <c r="A19" s="639" t="s">
        <v>69</v>
      </c>
      <c r="B19" s="53" t="s">
        <v>61</v>
      </c>
      <c r="C19" s="475" t="s">
        <v>778</v>
      </c>
      <c r="D19" s="569">
        <v>118</v>
      </c>
    </row>
    <row r="20" spans="1:7" x14ac:dyDescent="0.25">
      <c r="A20" s="639" t="s">
        <v>54</v>
      </c>
      <c r="B20" s="575" t="s">
        <v>55</v>
      </c>
      <c r="C20" s="53"/>
      <c r="D20" s="612"/>
    </row>
    <row r="21" spans="1:7" x14ac:dyDescent="0.25">
      <c r="A21" s="639"/>
      <c r="B21" s="575" t="s">
        <v>33</v>
      </c>
      <c r="C21" s="475" t="s">
        <v>7</v>
      </c>
      <c r="D21" s="467">
        <f>'SO_05_KL1_zemní práce'!J53</f>
        <v>23</v>
      </c>
    </row>
    <row r="22" spans="1:7" x14ac:dyDescent="0.25">
      <c r="A22" s="465"/>
      <c r="B22" s="575" t="s">
        <v>560</v>
      </c>
      <c r="C22" s="475" t="s">
        <v>40</v>
      </c>
      <c r="D22" s="467">
        <v>1</v>
      </c>
    </row>
    <row r="23" spans="1:7" x14ac:dyDescent="0.25">
      <c r="A23" s="571"/>
      <c r="B23" s="53"/>
      <c r="C23" s="466"/>
      <c r="D23" s="467"/>
    </row>
    <row r="24" spans="1:7" x14ac:dyDescent="0.25">
      <c r="A24" s="625">
        <v>2</v>
      </c>
      <c r="B24" s="642" t="s">
        <v>5</v>
      </c>
      <c r="C24" s="626"/>
      <c r="D24" s="643"/>
    </row>
    <row r="25" spans="1:7" x14ac:dyDescent="0.25">
      <c r="A25" s="571"/>
      <c r="B25" s="572" t="s">
        <v>210</v>
      </c>
      <c r="C25" s="466"/>
      <c r="D25" s="467"/>
      <c r="E25" s="82"/>
      <c r="F25" s="82"/>
    </row>
    <row r="26" spans="1:7" x14ac:dyDescent="0.25">
      <c r="A26" s="573" t="s">
        <v>71</v>
      </c>
      <c r="B26" s="572" t="s">
        <v>477</v>
      </c>
      <c r="C26" s="112"/>
      <c r="D26" s="609"/>
      <c r="E26" s="82"/>
      <c r="F26" s="82"/>
    </row>
    <row r="27" spans="1:7" x14ac:dyDescent="0.25">
      <c r="A27" s="644"/>
      <c r="B27" s="53" t="s">
        <v>790</v>
      </c>
      <c r="C27" s="53"/>
      <c r="D27" s="574"/>
      <c r="E27" s="82"/>
      <c r="F27" s="82"/>
    </row>
    <row r="28" spans="1:7" x14ac:dyDescent="0.25">
      <c r="A28" s="645"/>
      <c r="B28" s="105" t="s">
        <v>789</v>
      </c>
      <c r="C28" s="53"/>
      <c r="D28" s="574"/>
      <c r="E28" s="82"/>
      <c r="F28" s="82"/>
    </row>
    <row r="29" spans="1:7" x14ac:dyDescent="0.25">
      <c r="A29" s="646" t="s">
        <v>336</v>
      </c>
      <c r="B29" s="575" t="s">
        <v>478</v>
      </c>
      <c r="C29" s="576" t="s">
        <v>40</v>
      </c>
      <c r="D29" s="577">
        <f>'SO_05_KL1_zemní práce'!E71</f>
        <v>115</v>
      </c>
      <c r="E29" s="771"/>
      <c r="F29" s="82"/>
    </row>
    <row r="30" spans="1:7" x14ac:dyDescent="0.25">
      <c r="A30" s="646" t="s">
        <v>337</v>
      </c>
      <c r="B30" s="575" t="s">
        <v>479</v>
      </c>
      <c r="C30" s="576" t="s">
        <v>40</v>
      </c>
      <c r="D30" s="467">
        <f>'SO_05_KL1_zemní práce'!F71</f>
        <v>53</v>
      </c>
      <c r="E30" s="771"/>
      <c r="F30" s="82"/>
    </row>
    <row r="31" spans="1:7" x14ac:dyDescent="0.25">
      <c r="A31" s="646" t="s">
        <v>338</v>
      </c>
      <c r="B31" s="575" t="s">
        <v>480</v>
      </c>
      <c r="C31" s="576" t="s">
        <v>40</v>
      </c>
      <c r="D31" s="467">
        <f>'SO_05_KL1_zemní práce'!G71</f>
        <v>25</v>
      </c>
      <c r="E31" s="771"/>
      <c r="F31" s="84"/>
    </row>
    <row r="32" spans="1:7" x14ac:dyDescent="0.25">
      <c r="A32" s="646" t="s">
        <v>339</v>
      </c>
      <c r="B32" s="575" t="s">
        <v>481</v>
      </c>
      <c r="C32" s="576" t="s">
        <v>40</v>
      </c>
      <c r="D32" s="578">
        <f>'SO_05_KL1_zemní práce'!H71</f>
        <v>6</v>
      </c>
      <c r="E32" s="771"/>
      <c r="F32" s="84"/>
    </row>
    <row r="33" spans="1:6" ht="30" customHeight="1" x14ac:dyDescent="0.25">
      <c r="A33" s="579"/>
      <c r="B33" s="580" t="s">
        <v>791</v>
      </c>
      <c r="C33" s="581"/>
      <c r="D33" s="578"/>
      <c r="E33" s="771"/>
      <c r="F33" s="82"/>
    </row>
    <row r="34" spans="1:6" ht="64.5" customHeight="1" x14ac:dyDescent="0.25">
      <c r="A34" s="582"/>
      <c r="B34" s="583" t="s">
        <v>441</v>
      </c>
      <c r="C34" s="584"/>
      <c r="D34" s="647"/>
      <c r="E34" s="771"/>
      <c r="F34" s="82"/>
    </row>
    <row r="35" spans="1:6" x14ac:dyDescent="0.25">
      <c r="A35" s="465" t="s">
        <v>340</v>
      </c>
      <c r="B35" s="575" t="s">
        <v>482</v>
      </c>
      <c r="C35" s="585" t="s">
        <v>40</v>
      </c>
      <c r="D35" s="586">
        <f>'SO_05_KL1_zemní práce'!I71</f>
        <v>55</v>
      </c>
      <c r="E35" s="771"/>
      <c r="F35" s="82"/>
    </row>
    <row r="36" spans="1:6" x14ac:dyDescent="0.25">
      <c r="A36" s="465" t="s">
        <v>341</v>
      </c>
      <c r="B36" s="575" t="s">
        <v>483</v>
      </c>
      <c r="C36" s="585" t="s">
        <v>40</v>
      </c>
      <c r="D36" s="467">
        <f>'SO_05_KL1_zemní práce'!J71</f>
        <v>24</v>
      </c>
      <c r="E36" s="771"/>
      <c r="F36" s="82"/>
    </row>
    <row r="37" spans="1:6" x14ac:dyDescent="0.25">
      <c r="A37" s="465" t="s">
        <v>345</v>
      </c>
      <c r="B37" s="575" t="s">
        <v>484</v>
      </c>
      <c r="C37" s="585" t="s">
        <v>40</v>
      </c>
      <c r="D37" s="467">
        <f>'SO_05_KL1_zemní práce'!K71</f>
        <v>18</v>
      </c>
      <c r="E37" s="771"/>
      <c r="F37" s="82"/>
    </row>
    <row r="38" spans="1:6" x14ac:dyDescent="0.25">
      <c r="A38" s="465" t="s">
        <v>472</v>
      </c>
      <c r="B38" s="587" t="s">
        <v>485</v>
      </c>
      <c r="C38" s="585" t="s">
        <v>40</v>
      </c>
      <c r="D38" s="578">
        <f>'SO_05_KL1_zemní práce'!L71</f>
        <v>8</v>
      </c>
      <c r="E38" s="771"/>
      <c r="F38" s="82"/>
    </row>
    <row r="39" spans="1:6" ht="45" x14ac:dyDescent="0.25">
      <c r="A39" s="588"/>
      <c r="B39" s="589" t="s">
        <v>780</v>
      </c>
      <c r="C39" s="590"/>
      <c r="D39" s="578"/>
      <c r="E39" s="771"/>
      <c r="F39" s="82"/>
    </row>
    <row r="40" spans="1:6" x14ac:dyDescent="0.25">
      <c r="A40" s="648" t="s">
        <v>473</v>
      </c>
      <c r="B40" s="591" t="s">
        <v>342</v>
      </c>
      <c r="C40" s="592" t="s">
        <v>40</v>
      </c>
      <c r="D40" s="593">
        <v>14</v>
      </c>
      <c r="E40" s="93"/>
      <c r="F40" s="82"/>
    </row>
    <row r="41" spans="1:6" x14ac:dyDescent="0.25">
      <c r="A41" s="594"/>
      <c r="B41" s="575" t="s">
        <v>344</v>
      </c>
      <c r="C41" s="470"/>
      <c r="D41" s="649"/>
      <c r="E41" s="93"/>
      <c r="F41" s="82"/>
    </row>
    <row r="42" spans="1:6" x14ac:dyDescent="0.25">
      <c r="A42" s="465"/>
      <c r="B42" s="53" t="s">
        <v>343</v>
      </c>
      <c r="C42" s="470"/>
      <c r="D42" s="615"/>
      <c r="E42" s="82"/>
      <c r="F42" s="82"/>
    </row>
    <row r="43" spans="1:6" x14ac:dyDescent="0.25">
      <c r="A43" s="594" t="s">
        <v>475</v>
      </c>
      <c r="B43" s="595" t="s">
        <v>202</v>
      </c>
      <c r="C43" s="466"/>
      <c r="D43" s="467"/>
      <c r="E43" s="82"/>
      <c r="F43" s="82"/>
    </row>
    <row r="44" spans="1:6" ht="30" x14ac:dyDescent="0.25">
      <c r="A44" s="596"/>
      <c r="B44" s="597" t="s">
        <v>203</v>
      </c>
      <c r="C44" s="598" t="s">
        <v>206</v>
      </c>
      <c r="D44" s="467">
        <f>'SO_05_KL1_zemní práce'!G79</f>
        <v>711</v>
      </c>
      <c r="E44" s="82"/>
      <c r="F44" s="82"/>
    </row>
    <row r="45" spans="1:6" x14ac:dyDescent="0.25">
      <c r="A45" s="627" t="s">
        <v>346</v>
      </c>
      <c r="B45" s="53" t="s">
        <v>359</v>
      </c>
      <c r="C45" s="53"/>
      <c r="D45" s="467"/>
      <c r="E45" s="772"/>
      <c r="F45" s="82"/>
    </row>
    <row r="46" spans="1:6" ht="39" x14ac:dyDescent="0.25">
      <c r="A46" s="627"/>
      <c r="B46" s="628" t="s">
        <v>424</v>
      </c>
      <c r="C46" s="53"/>
      <c r="D46" s="467"/>
      <c r="E46" s="772"/>
      <c r="F46" s="82"/>
    </row>
    <row r="47" spans="1:6" x14ac:dyDescent="0.25">
      <c r="A47" s="599"/>
      <c r="B47" s="84" t="s">
        <v>357</v>
      </c>
      <c r="C47" s="592" t="s">
        <v>40</v>
      </c>
      <c r="D47" s="467">
        <f>'SO_05_KL1_zemní práce'!J89</f>
        <v>20</v>
      </c>
      <c r="E47" s="772"/>
      <c r="F47" s="82"/>
    </row>
    <row r="48" spans="1:6" x14ac:dyDescent="0.25">
      <c r="A48" s="599"/>
      <c r="B48" s="53" t="s">
        <v>433</v>
      </c>
      <c r="C48" s="592" t="s">
        <v>40</v>
      </c>
      <c r="D48" s="467">
        <f>'SO_05_KL1_zemní práce'!K89</f>
        <v>4</v>
      </c>
      <c r="E48" s="772"/>
      <c r="F48" s="82"/>
    </row>
    <row r="49" spans="1:9" x14ac:dyDescent="0.25">
      <c r="A49" s="599"/>
      <c r="B49" s="53" t="s">
        <v>358</v>
      </c>
      <c r="C49" s="592" t="s">
        <v>40</v>
      </c>
      <c r="D49" s="467">
        <f>'SO_05_KL1_zemní práce'!L89</f>
        <v>6</v>
      </c>
      <c r="E49" s="772"/>
      <c r="F49" s="82"/>
    </row>
    <row r="50" spans="1:9" x14ac:dyDescent="0.25">
      <c r="A50" s="599"/>
      <c r="B50" s="53"/>
      <c r="C50" s="53"/>
      <c r="D50" s="467"/>
      <c r="E50" s="772"/>
      <c r="F50" s="82"/>
    </row>
    <row r="51" spans="1:9" ht="17.25" x14ac:dyDescent="0.25">
      <c r="A51" s="465" t="s">
        <v>204</v>
      </c>
      <c r="B51" s="570" t="s">
        <v>51</v>
      </c>
      <c r="C51" s="475" t="s">
        <v>207</v>
      </c>
      <c r="D51" s="467">
        <f>'SO_05_KL1_zemní práce'!G140</f>
        <v>826.66100000000017</v>
      </c>
      <c r="E51" s="772"/>
      <c r="F51" s="82"/>
    </row>
    <row r="52" spans="1:9" ht="17.25" x14ac:dyDescent="0.25">
      <c r="A52" s="465" t="s">
        <v>208</v>
      </c>
      <c r="B52" s="476" t="s">
        <v>52</v>
      </c>
      <c r="C52" s="475" t="s">
        <v>207</v>
      </c>
      <c r="D52" s="467">
        <f>'SO_05_KL1_zemní práce'!J140</f>
        <v>512.52029999999991</v>
      </c>
      <c r="E52" s="772"/>
      <c r="F52" s="82"/>
    </row>
    <row r="53" spans="1:9" ht="44.25" customHeight="1" x14ac:dyDescent="0.25">
      <c r="A53" s="471" t="s">
        <v>209</v>
      </c>
      <c r="B53" s="600" t="s">
        <v>575</v>
      </c>
      <c r="C53" s="601" t="s">
        <v>207</v>
      </c>
      <c r="D53" s="615">
        <f>'SO_05_KL1_zemní práce'!M135</f>
        <v>746.97050000000002</v>
      </c>
      <c r="E53" s="772"/>
      <c r="F53" s="82"/>
    </row>
    <row r="54" spans="1:9" ht="17.25" x14ac:dyDescent="0.25">
      <c r="A54" s="465" t="s">
        <v>594</v>
      </c>
      <c r="B54" s="476" t="s">
        <v>576</v>
      </c>
      <c r="C54" s="475" t="s">
        <v>207</v>
      </c>
      <c r="D54" s="467">
        <f>'SO_05_KL1_zemní práce'!G213</f>
        <v>824.72500000000002</v>
      </c>
      <c r="E54" s="772"/>
      <c r="F54" s="82"/>
    </row>
    <row r="55" spans="1:9" ht="38.25" customHeight="1" x14ac:dyDescent="0.25">
      <c r="A55" s="471" t="s">
        <v>595</v>
      </c>
      <c r="B55" s="600" t="s">
        <v>604</v>
      </c>
      <c r="C55" s="475" t="s">
        <v>207</v>
      </c>
      <c r="D55" s="467">
        <f>'SO_05_KL1_zemní práce'!F230</f>
        <v>22.8</v>
      </c>
      <c r="E55" s="650"/>
    </row>
    <row r="56" spans="1:9" ht="17.25" x14ac:dyDescent="0.25">
      <c r="A56" s="465" t="s">
        <v>80</v>
      </c>
      <c r="B56" s="476" t="s">
        <v>788</v>
      </c>
      <c r="C56" s="475" t="s">
        <v>207</v>
      </c>
      <c r="D56" s="467">
        <f>'SO_05_KL1_zemní práce'!G375</f>
        <v>6403.9412000000011</v>
      </c>
    </row>
    <row r="57" spans="1:9" ht="17.25" x14ac:dyDescent="0.25">
      <c r="A57" s="465" t="s">
        <v>654</v>
      </c>
      <c r="B57" s="476" t="s">
        <v>655</v>
      </c>
      <c r="C57" s="475" t="s">
        <v>207</v>
      </c>
      <c r="D57" s="467">
        <f>'SO_05_KL1_zemní práce'!G386</f>
        <v>6.048</v>
      </c>
    </row>
    <row r="58" spans="1:9" ht="17.25" x14ac:dyDescent="0.25">
      <c r="A58" s="616" t="s">
        <v>90</v>
      </c>
      <c r="B58" s="476" t="s">
        <v>91</v>
      </c>
      <c r="C58" s="475" t="s">
        <v>207</v>
      </c>
      <c r="D58" s="467">
        <f>'SO_05_KL1_zemní práce'!H419</f>
        <v>146.47328000000002</v>
      </c>
      <c r="E58" s="290"/>
      <c r="F58" s="14"/>
    </row>
    <row r="59" spans="1:9" ht="26.25" x14ac:dyDescent="0.25">
      <c r="A59" s="594" t="s">
        <v>643</v>
      </c>
      <c r="B59" s="468" t="s">
        <v>644</v>
      </c>
      <c r="C59" s="475" t="s">
        <v>207</v>
      </c>
      <c r="D59" s="569">
        <f>'SO_05_KL1_zemní práce'!G428</f>
        <v>97.760000000000019</v>
      </c>
      <c r="E59" s="480"/>
      <c r="F59" s="480"/>
      <c r="G59" s="481"/>
      <c r="H59" s="480"/>
      <c r="I59" s="482"/>
    </row>
    <row r="60" spans="1:9" ht="17.25" x14ac:dyDescent="0.25">
      <c r="A60" s="465" t="s">
        <v>165</v>
      </c>
      <c r="B60" s="602" t="s">
        <v>169</v>
      </c>
      <c r="C60" s="475" t="s">
        <v>207</v>
      </c>
      <c r="D60" s="467">
        <f>'SO_05_KL1_zemní práce'!H445</f>
        <v>169.625</v>
      </c>
    </row>
    <row r="61" spans="1:9" x14ac:dyDescent="0.25">
      <c r="A61" s="465" t="s">
        <v>94</v>
      </c>
      <c r="B61" s="602" t="s">
        <v>95</v>
      </c>
      <c r="C61" s="475" t="s">
        <v>206</v>
      </c>
      <c r="D61" s="467">
        <f>'SO_05_KL1_zemní práce'!G492</f>
        <v>551.62300000000005</v>
      </c>
      <c r="E61" s="12"/>
    </row>
    <row r="62" spans="1:9" x14ac:dyDescent="0.25">
      <c r="A62" s="465" t="s">
        <v>96</v>
      </c>
      <c r="B62" s="602" t="s">
        <v>211</v>
      </c>
      <c r="C62" s="475" t="s">
        <v>206</v>
      </c>
      <c r="D62" s="467">
        <f>'SO_05_KL1_zemní práce'!G485</f>
        <v>440.62300000000005</v>
      </c>
    </row>
    <row r="63" spans="1:9" x14ac:dyDescent="0.25">
      <c r="A63" s="465" t="s">
        <v>98</v>
      </c>
      <c r="B63" s="476" t="s">
        <v>99</v>
      </c>
      <c r="C63" s="475" t="s">
        <v>206</v>
      </c>
      <c r="D63" s="467">
        <f>'SO_05_KL1_zemní práce'!F540</f>
        <v>440.62300000000005</v>
      </c>
    </row>
    <row r="64" spans="1:9" x14ac:dyDescent="0.25">
      <c r="A64" s="465" t="s">
        <v>100</v>
      </c>
      <c r="B64" s="476" t="s">
        <v>213</v>
      </c>
      <c r="C64" s="475" t="s">
        <v>206</v>
      </c>
      <c r="D64" s="467">
        <f>'SO_05_KL1_zemní práce'!G546</f>
        <v>111</v>
      </c>
    </row>
    <row r="65" spans="1:7" x14ac:dyDescent="0.25">
      <c r="A65" s="465" t="s">
        <v>214</v>
      </c>
      <c r="B65" s="476" t="s">
        <v>312</v>
      </c>
      <c r="C65" s="475" t="s">
        <v>206</v>
      </c>
      <c r="D65" s="467">
        <f>'SO_05_KL1_zemní práce'!G549</f>
        <v>239.29349999999999</v>
      </c>
    </row>
    <row r="66" spans="1:7" x14ac:dyDescent="0.25">
      <c r="A66" s="465" t="s">
        <v>770</v>
      </c>
      <c r="B66" s="476" t="s">
        <v>313</v>
      </c>
      <c r="C66" s="475" t="s">
        <v>206</v>
      </c>
      <c r="D66" s="467">
        <f>'SO_05_KL1_zemní práce'!G558</f>
        <v>487.5</v>
      </c>
    </row>
    <row r="67" spans="1:7" x14ac:dyDescent="0.25">
      <c r="A67" s="465" t="s">
        <v>773</v>
      </c>
      <c r="B67" s="476" t="s">
        <v>774</v>
      </c>
      <c r="C67" s="475" t="s">
        <v>206</v>
      </c>
      <c r="D67" s="467">
        <f>'SO_05_KL1_zemní práce'!F568</f>
        <v>246.85</v>
      </c>
    </row>
    <row r="68" spans="1:7" ht="99" customHeight="1" x14ac:dyDescent="0.25">
      <c r="A68" s="471" t="s">
        <v>718</v>
      </c>
      <c r="B68" s="600" t="s">
        <v>749</v>
      </c>
      <c r="C68" s="601" t="s">
        <v>207</v>
      </c>
      <c r="D68" s="467">
        <f>'SO_05_KL1_zemní práce'!G625</f>
        <v>999.78500000000008</v>
      </c>
      <c r="F68" s="51"/>
      <c r="G68" s="51"/>
    </row>
    <row r="69" spans="1:7" ht="26.25" customHeight="1" x14ac:dyDescent="0.25">
      <c r="A69" s="471" t="s">
        <v>718</v>
      </c>
      <c r="B69" s="600" t="s">
        <v>719</v>
      </c>
      <c r="C69" s="601" t="s">
        <v>207</v>
      </c>
      <c r="D69" s="467">
        <f>'SO_05_KL1_zemní práce'!G724</f>
        <v>1070.0360000000001</v>
      </c>
      <c r="E69" s="445"/>
      <c r="F69" s="51"/>
      <c r="G69" s="51"/>
    </row>
    <row r="70" spans="1:7" ht="26.25" customHeight="1" x14ac:dyDescent="0.25">
      <c r="A70" s="471"/>
      <c r="B70" s="600" t="s">
        <v>31</v>
      </c>
      <c r="C70" s="475" t="s">
        <v>206</v>
      </c>
      <c r="D70" s="467">
        <f>'SO_05_KL1_zemní práce'!J724</f>
        <v>1348.0389999999998</v>
      </c>
      <c r="E70" s="445"/>
      <c r="F70" s="51"/>
      <c r="G70" s="51"/>
    </row>
    <row r="71" spans="1:7" ht="17.25" x14ac:dyDescent="0.25">
      <c r="A71" s="465" t="s">
        <v>380</v>
      </c>
      <c r="B71" s="600" t="s">
        <v>383</v>
      </c>
      <c r="C71" s="601" t="s">
        <v>207</v>
      </c>
      <c r="D71" s="617">
        <f>'SO_05_KL1_zemní práce'!G730</f>
        <v>44.72</v>
      </c>
    </row>
    <row r="72" spans="1:7" ht="17.25" x14ac:dyDescent="0.25">
      <c r="A72" s="465" t="s">
        <v>378</v>
      </c>
      <c r="B72" s="476" t="s">
        <v>434</v>
      </c>
      <c r="C72" s="601" t="s">
        <v>207</v>
      </c>
      <c r="D72" s="467">
        <f>'SO_05_KL1_zemní práce'!H743</f>
        <v>159.60000000000002</v>
      </c>
    </row>
    <row r="73" spans="1:7" ht="17.25" x14ac:dyDescent="0.25">
      <c r="A73" s="559" t="s">
        <v>379</v>
      </c>
      <c r="B73" s="600" t="s">
        <v>387</v>
      </c>
      <c r="C73" s="601" t="s">
        <v>207</v>
      </c>
      <c r="D73" s="467">
        <f>'SO_05_KL1_zemní práce'!G765</f>
        <v>228.375</v>
      </c>
    </row>
    <row r="74" spans="1:7" x14ac:dyDescent="0.25">
      <c r="A74" s="465"/>
      <c r="B74" s="476"/>
      <c r="C74" s="601"/>
      <c r="D74" s="467"/>
    </row>
    <row r="75" spans="1:7" ht="17.25" x14ac:dyDescent="0.25">
      <c r="A75" s="465" t="s">
        <v>384</v>
      </c>
      <c r="B75" s="476" t="s">
        <v>105</v>
      </c>
      <c r="C75" s="601" t="s">
        <v>207</v>
      </c>
      <c r="D75" s="467">
        <f>'SO_05_KL1_zemní práce'!G782</f>
        <v>64.144999999999982</v>
      </c>
    </row>
    <row r="76" spans="1:7" x14ac:dyDescent="0.25">
      <c r="A76" s="465"/>
      <c r="B76" s="476" t="s">
        <v>31</v>
      </c>
      <c r="C76" s="475" t="s">
        <v>206</v>
      </c>
      <c r="D76" s="467">
        <f>'SO_05_KL1_zemní práce'!G783</f>
        <v>106.66666666666667</v>
      </c>
    </row>
    <row r="77" spans="1:7" ht="17.25" x14ac:dyDescent="0.25">
      <c r="A77" s="465" t="s">
        <v>385</v>
      </c>
      <c r="B77" s="476" t="s">
        <v>386</v>
      </c>
      <c r="C77" s="601" t="s">
        <v>207</v>
      </c>
      <c r="D77" s="467">
        <f>'SO_05_KL1_zemní práce'!E803</f>
        <v>40.11</v>
      </c>
    </row>
    <row r="78" spans="1:7" x14ac:dyDescent="0.25">
      <c r="A78" s="465"/>
      <c r="B78" s="476" t="s">
        <v>31</v>
      </c>
      <c r="C78" s="475" t="s">
        <v>206</v>
      </c>
      <c r="D78" s="467">
        <f>'SO_05_KL1_zemní práce'!E807</f>
        <v>66</v>
      </c>
    </row>
    <row r="79" spans="1:7" ht="39" x14ac:dyDescent="0.25">
      <c r="A79" s="465" t="s">
        <v>107</v>
      </c>
      <c r="B79" s="570" t="s">
        <v>435</v>
      </c>
      <c r="C79" s="601" t="s">
        <v>207</v>
      </c>
      <c r="D79" s="467">
        <f>'SO_05_KL1_zemní práce'!F815</f>
        <v>754.88</v>
      </c>
    </row>
    <row r="80" spans="1:7" ht="30" customHeight="1" x14ac:dyDescent="0.25">
      <c r="A80" s="465" t="s">
        <v>108</v>
      </c>
      <c r="B80" s="603" t="s">
        <v>395</v>
      </c>
      <c r="C80" s="601" t="s">
        <v>207</v>
      </c>
      <c r="D80" s="467">
        <f>'SO_05_KL1_zemní práce'!G835</f>
        <v>5.5250000000000004</v>
      </c>
    </row>
    <row r="81" spans="1:24" x14ac:dyDescent="0.25">
      <c r="A81" s="465"/>
      <c r="B81" s="604" t="s">
        <v>31</v>
      </c>
      <c r="C81" s="475" t="s">
        <v>206</v>
      </c>
      <c r="D81" s="467">
        <f>'SO_05_KL1_zemní práce'!F821</f>
        <v>17.55</v>
      </c>
    </row>
    <row r="82" spans="1:24" ht="30" x14ac:dyDescent="0.25">
      <c r="A82" s="465" t="s">
        <v>109</v>
      </c>
      <c r="B82" s="604" t="s">
        <v>486</v>
      </c>
      <c r="C82" s="601" t="s">
        <v>207</v>
      </c>
      <c r="D82" s="467">
        <f>'SO_05_KL1_zemní práce'!G835</f>
        <v>5.5250000000000004</v>
      </c>
    </row>
    <row r="83" spans="1:24" x14ac:dyDescent="0.25">
      <c r="A83" s="465"/>
      <c r="B83" s="53"/>
      <c r="C83" s="475" t="s">
        <v>206</v>
      </c>
      <c r="D83" s="467">
        <f>'SO_05_KL1_zemní práce'!G834</f>
        <v>32.5</v>
      </c>
    </row>
    <row r="84" spans="1:24" x14ac:dyDescent="0.25">
      <c r="A84" s="605" t="s">
        <v>367</v>
      </c>
      <c r="B84" s="54" t="s">
        <v>366</v>
      </c>
      <c r="C84" s="53"/>
      <c r="D84" s="467"/>
    </row>
    <row r="85" spans="1:24" x14ac:dyDescent="0.25">
      <c r="A85" s="605"/>
      <c r="B85" s="54" t="s">
        <v>368</v>
      </c>
      <c r="C85" s="53"/>
      <c r="D85" s="467"/>
    </row>
    <row r="86" spans="1:24" x14ac:dyDescent="0.25">
      <c r="A86" s="605"/>
      <c r="B86" s="606" t="s">
        <v>584</v>
      </c>
      <c r="C86" s="53"/>
      <c r="D86" s="467"/>
    </row>
    <row r="87" spans="1:24" x14ac:dyDescent="0.25">
      <c r="A87" s="607" t="s">
        <v>372</v>
      </c>
      <c r="B87" s="53" t="s">
        <v>361</v>
      </c>
      <c r="C87" s="608" t="s">
        <v>206</v>
      </c>
      <c r="D87" s="609">
        <f>'SO_05_KL1_zemní práce'!H842</f>
        <v>222</v>
      </c>
      <c r="E87" s="51"/>
      <c r="F87" s="51"/>
    </row>
    <row r="88" spans="1:24" ht="17.25" x14ac:dyDescent="0.25">
      <c r="A88" s="607" t="s">
        <v>373</v>
      </c>
      <c r="B88" s="53" t="s">
        <v>436</v>
      </c>
      <c r="C88" s="608" t="s">
        <v>206</v>
      </c>
      <c r="D88" s="467">
        <f>'SO_05_KL1_zemní práce'!H843</f>
        <v>235.4</v>
      </c>
    </row>
    <row r="89" spans="1:24" x14ac:dyDescent="0.25">
      <c r="A89" s="607" t="s">
        <v>389</v>
      </c>
      <c r="B89" s="53" t="s">
        <v>437</v>
      </c>
      <c r="C89" s="608" t="s">
        <v>206</v>
      </c>
      <c r="D89" s="467">
        <f>'SO_05_KL1_zemní práce'!H847</f>
        <v>235.4</v>
      </c>
    </row>
    <row r="90" spans="1:24" ht="17.25" x14ac:dyDescent="0.25">
      <c r="A90" s="607" t="s">
        <v>390</v>
      </c>
      <c r="B90" s="53" t="s">
        <v>438</v>
      </c>
      <c r="C90" s="608" t="s">
        <v>206</v>
      </c>
      <c r="D90" s="467">
        <f>'SO_05_KL1_zemní práce'!H848</f>
        <v>235.4</v>
      </c>
    </row>
    <row r="91" spans="1:24" ht="17.25" x14ac:dyDescent="0.25">
      <c r="A91" s="668" t="s">
        <v>391</v>
      </c>
      <c r="B91" s="53" t="s">
        <v>439</v>
      </c>
      <c r="C91" s="601" t="s">
        <v>207</v>
      </c>
      <c r="D91" s="669">
        <f>'SO_05_KL1_zemní práce'!H852</f>
        <v>56.2</v>
      </c>
    </row>
    <row r="92" spans="1:24" x14ac:dyDescent="0.25">
      <c r="A92" s="668"/>
      <c r="B92" s="53" t="s">
        <v>426</v>
      </c>
      <c r="C92" s="53"/>
      <c r="D92" s="669"/>
    </row>
    <row r="93" spans="1:24" x14ac:dyDescent="0.25">
      <c r="A93" s="668" t="s">
        <v>374</v>
      </c>
      <c r="B93" s="53" t="s">
        <v>440</v>
      </c>
      <c r="C93" s="53"/>
      <c r="D93" s="669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</row>
    <row r="94" spans="1:24" x14ac:dyDescent="0.25">
      <c r="A94" s="668"/>
      <c r="B94" s="53" t="s">
        <v>31</v>
      </c>
      <c r="C94" s="475" t="s">
        <v>206</v>
      </c>
      <c r="D94" s="669">
        <f>'SO_05_KL1_zemní práce'!G856</f>
        <v>105</v>
      </c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</row>
    <row r="95" spans="1:24" x14ac:dyDescent="0.25">
      <c r="A95" s="668"/>
      <c r="B95" s="54" t="s">
        <v>360</v>
      </c>
      <c r="C95" s="53"/>
      <c r="D95" s="669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</row>
    <row r="96" spans="1:24" ht="17.25" x14ac:dyDescent="0.25">
      <c r="A96" s="668" t="s">
        <v>392</v>
      </c>
      <c r="B96" s="53" t="s">
        <v>582</v>
      </c>
      <c r="C96" s="601" t="s">
        <v>207</v>
      </c>
      <c r="D96" s="466">
        <f>'SO_05_KL1_zemní práce'!G860</f>
        <v>31.5</v>
      </c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</row>
    <row r="97" spans="1:24" ht="17.25" x14ac:dyDescent="0.25">
      <c r="A97" s="668" t="s">
        <v>393</v>
      </c>
      <c r="B97" s="53" t="s">
        <v>369</v>
      </c>
      <c r="C97" s="601" t="s">
        <v>207</v>
      </c>
      <c r="D97" s="585">
        <f>'SO_05_KL1_zemní práce'!G861</f>
        <v>23</v>
      </c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</row>
    <row r="98" spans="1:24" x14ac:dyDescent="0.25">
      <c r="A98" s="668"/>
      <c r="B98" s="53" t="s">
        <v>370</v>
      </c>
      <c r="C98" s="601"/>
      <c r="D98" s="53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</row>
    <row r="99" spans="1:24" x14ac:dyDescent="0.25">
      <c r="A99" s="465"/>
      <c r="B99" s="53"/>
      <c r="C99" s="53"/>
      <c r="D99" s="574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</row>
    <row r="100" spans="1:24" ht="17.25" x14ac:dyDescent="0.25">
      <c r="A100" s="465" t="s">
        <v>394</v>
      </c>
      <c r="B100" s="53" t="s">
        <v>375</v>
      </c>
      <c r="C100" s="601" t="s">
        <v>207</v>
      </c>
      <c r="D100" s="467">
        <f>'SO_05_KL1_zemní práce'!H892</f>
        <v>30.826400000000003</v>
      </c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</row>
    <row r="101" spans="1:24" ht="75" customHeight="1" x14ac:dyDescent="0.25">
      <c r="A101" s="471" t="s">
        <v>396</v>
      </c>
      <c r="B101" s="610" t="s">
        <v>581</v>
      </c>
      <c r="C101" s="601" t="s">
        <v>207</v>
      </c>
      <c r="D101" s="611">
        <f>'SO_05_KL1_zemní práce'!H906</f>
        <v>7.1999999999999993</v>
      </c>
      <c r="F101" s="5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</row>
    <row r="102" spans="1:24" ht="19.5" customHeight="1" x14ac:dyDescent="0.25">
      <c r="A102" s="471" t="s">
        <v>725</v>
      </c>
      <c r="B102" s="237" t="s">
        <v>720</v>
      </c>
      <c r="C102" s="474"/>
      <c r="D102" s="618"/>
      <c r="E102" s="38"/>
      <c r="F102" s="38"/>
      <c r="G102" s="38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</row>
    <row r="103" spans="1:24" ht="19.5" customHeight="1" x14ac:dyDescent="0.25">
      <c r="A103" s="471"/>
      <c r="B103" s="237" t="s">
        <v>721</v>
      </c>
      <c r="C103" s="474"/>
      <c r="D103" s="618"/>
      <c r="E103" s="38"/>
      <c r="F103" s="38"/>
      <c r="G103" s="38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</row>
    <row r="104" spans="1:24" x14ac:dyDescent="0.25">
      <c r="A104" s="465"/>
      <c r="B104" s="237" t="s">
        <v>722</v>
      </c>
      <c r="C104" s="474"/>
      <c r="D104" s="618"/>
      <c r="E104" s="38"/>
      <c r="F104" s="38"/>
      <c r="G104" s="38"/>
      <c r="H104" s="84"/>
      <c r="I104" s="84"/>
      <c r="J104" s="84"/>
      <c r="K104" s="84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</row>
    <row r="105" spans="1:24" x14ac:dyDescent="0.25">
      <c r="A105" s="465"/>
      <c r="B105" s="237" t="s">
        <v>723</v>
      </c>
      <c r="C105" s="474"/>
      <c r="D105" s="618"/>
      <c r="E105" s="38"/>
      <c r="F105" s="38"/>
      <c r="G105" s="38"/>
      <c r="H105" s="84"/>
      <c r="I105" s="84"/>
      <c r="J105" s="84"/>
      <c r="K105" s="84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</row>
    <row r="106" spans="1:24" x14ac:dyDescent="0.25">
      <c r="A106" s="465"/>
      <c r="B106" s="237" t="s">
        <v>724</v>
      </c>
      <c r="C106" s="474"/>
      <c r="D106" s="618"/>
      <c r="E106" s="38"/>
      <c r="F106" s="38"/>
      <c r="G106" s="38"/>
      <c r="H106" s="84"/>
      <c r="I106" s="84"/>
      <c r="J106" s="84"/>
      <c r="K106" s="84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</row>
    <row r="107" spans="1:24" x14ac:dyDescent="0.25">
      <c r="A107" s="465"/>
      <c r="B107" s="53"/>
      <c r="C107" s="53"/>
      <c r="D107" s="612"/>
      <c r="E107" s="82"/>
      <c r="F107" s="84"/>
      <c r="G107" s="84"/>
      <c r="H107" s="84"/>
      <c r="I107" s="84"/>
      <c r="J107" s="84"/>
      <c r="K107" s="84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</row>
    <row r="108" spans="1:24" x14ac:dyDescent="0.25">
      <c r="A108" s="629" t="s">
        <v>110</v>
      </c>
      <c r="B108" s="630" t="s">
        <v>111</v>
      </c>
      <c r="C108" s="631"/>
      <c r="D108" s="632"/>
      <c r="E108" s="82"/>
      <c r="F108" s="84"/>
      <c r="G108" s="84"/>
      <c r="H108" s="84"/>
      <c r="I108" s="84"/>
      <c r="J108" s="84"/>
      <c r="K108" s="84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</row>
    <row r="109" spans="1:24" x14ac:dyDescent="0.25">
      <c r="A109" s="613"/>
      <c r="B109" s="565" t="s">
        <v>216</v>
      </c>
      <c r="C109" s="475"/>
      <c r="D109" s="467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</row>
    <row r="110" spans="1:24" ht="17.25" x14ac:dyDescent="0.25">
      <c r="A110" s="614" t="s">
        <v>112</v>
      </c>
      <c r="B110" s="474" t="s">
        <v>215</v>
      </c>
      <c r="C110" s="475" t="s">
        <v>207</v>
      </c>
      <c r="D110" s="467">
        <f>'SO05_KL 2_konstrukce'!G34</f>
        <v>43.977499999999999</v>
      </c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</row>
    <row r="111" spans="1:24" ht="17.25" x14ac:dyDescent="0.25">
      <c r="A111" s="614" t="s">
        <v>113</v>
      </c>
      <c r="B111" s="651" t="s">
        <v>193</v>
      </c>
      <c r="C111" s="475" t="s">
        <v>207</v>
      </c>
      <c r="D111" s="467">
        <f>'SO05_KL 2_konstrukce'!G100</f>
        <v>680.71000000000015</v>
      </c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</row>
    <row r="112" spans="1:24" x14ac:dyDescent="0.25">
      <c r="A112" s="465"/>
      <c r="B112" s="53"/>
      <c r="C112" s="53"/>
      <c r="D112" s="467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</row>
    <row r="113" spans="1:24" x14ac:dyDescent="0.25">
      <c r="A113" s="660" t="s">
        <v>217</v>
      </c>
      <c r="B113" s="661" t="s">
        <v>218</v>
      </c>
      <c r="C113" s="631"/>
      <c r="D113" s="643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</row>
    <row r="114" spans="1:24" x14ac:dyDescent="0.25">
      <c r="A114" s="605"/>
      <c r="B114" s="565" t="s">
        <v>216</v>
      </c>
      <c r="C114" s="53"/>
      <c r="D114" s="467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</row>
    <row r="115" spans="1:24" x14ac:dyDescent="0.25">
      <c r="A115" s="465" t="s">
        <v>223</v>
      </c>
      <c r="B115" s="476" t="s">
        <v>224</v>
      </c>
      <c r="C115" s="475" t="s">
        <v>206</v>
      </c>
      <c r="D115" s="467">
        <f>'SO05_KL 2_konstrukce'!G107</f>
        <v>185.37</v>
      </c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</row>
    <row r="116" spans="1:24" x14ac:dyDescent="0.25">
      <c r="A116" s="465" t="s">
        <v>225</v>
      </c>
      <c r="B116" s="476" t="s">
        <v>226</v>
      </c>
      <c r="C116" s="475" t="s">
        <v>206</v>
      </c>
      <c r="D116" s="467">
        <f>'SO05_KL 2_konstrukce'!G113</f>
        <v>94.720000000000013</v>
      </c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</row>
    <row r="117" spans="1:24" x14ac:dyDescent="0.25">
      <c r="A117" s="465" t="s">
        <v>249</v>
      </c>
      <c r="B117" s="476" t="s">
        <v>228</v>
      </c>
      <c r="C117" s="475" t="s">
        <v>206</v>
      </c>
      <c r="D117" s="467">
        <f>'SO05_KL 2_konstrukce'!G128</f>
        <v>72.86</v>
      </c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</row>
    <row r="118" spans="1:24" x14ac:dyDescent="0.25">
      <c r="A118" s="465" t="s">
        <v>230</v>
      </c>
      <c r="B118" s="476" t="s">
        <v>231</v>
      </c>
      <c r="C118" s="475" t="s">
        <v>206</v>
      </c>
      <c r="D118" s="467">
        <f>'SO05_KL 2_konstrukce'!H163</f>
        <v>226.24</v>
      </c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</row>
    <row r="119" spans="1:24" x14ac:dyDescent="0.25">
      <c r="A119" s="465"/>
      <c r="B119" s="54"/>
      <c r="C119" s="53"/>
      <c r="D119" s="467"/>
    </row>
    <row r="120" spans="1:24" x14ac:dyDescent="0.25">
      <c r="A120" s="660" t="s">
        <v>250</v>
      </c>
      <c r="B120" s="661" t="s">
        <v>251</v>
      </c>
      <c r="C120" s="662" t="s">
        <v>206</v>
      </c>
      <c r="D120" s="643">
        <f>'SO05_KL 2_konstrukce'!H168</f>
        <v>304.58999999999997</v>
      </c>
    </row>
    <row r="121" spans="1:24" x14ac:dyDescent="0.25">
      <c r="A121" s="465"/>
      <c r="B121" s="53"/>
      <c r="C121" s="53"/>
      <c r="D121" s="612"/>
    </row>
    <row r="122" spans="1:24" x14ac:dyDescent="0.25">
      <c r="A122" s="660" t="s">
        <v>254</v>
      </c>
      <c r="B122" s="630" t="s">
        <v>255</v>
      </c>
      <c r="C122" s="631"/>
      <c r="D122" s="632"/>
    </row>
    <row r="123" spans="1:24" x14ac:dyDescent="0.25">
      <c r="A123" s="465"/>
      <c r="B123" s="565" t="s">
        <v>216</v>
      </c>
      <c r="C123" s="53"/>
      <c r="D123" s="612"/>
    </row>
    <row r="124" spans="1:24" x14ac:dyDescent="0.25">
      <c r="A124" s="465" t="s">
        <v>257</v>
      </c>
      <c r="B124" s="652" t="s">
        <v>781</v>
      </c>
      <c r="C124" s="466" t="s">
        <v>63</v>
      </c>
      <c r="D124" s="467">
        <f>'SO05_KL 2_konstrukce'!G173</f>
        <v>19059.88</v>
      </c>
    </row>
    <row r="125" spans="1:24" x14ac:dyDescent="0.25">
      <c r="A125" s="465" t="s">
        <v>258</v>
      </c>
      <c r="B125" s="652" t="s">
        <v>782</v>
      </c>
      <c r="C125" s="466" t="s">
        <v>63</v>
      </c>
      <c r="D125" s="467">
        <f>'SO05_KL 2_konstrukce'!G174</f>
        <v>35396.920000000006</v>
      </c>
    </row>
    <row r="126" spans="1:24" x14ac:dyDescent="0.25">
      <c r="A126" s="465" t="s">
        <v>783</v>
      </c>
      <c r="B126" s="53" t="s">
        <v>785</v>
      </c>
      <c r="C126" s="466" t="s">
        <v>63</v>
      </c>
      <c r="D126" s="467">
        <f>'SO05_KL 2_konstrukce'!G215</f>
        <v>747.87804000000017</v>
      </c>
      <c r="E126" s="667"/>
    </row>
    <row r="127" spans="1:24" x14ac:dyDescent="0.25">
      <c r="A127" s="660" t="s">
        <v>259</v>
      </c>
      <c r="B127" s="630" t="s">
        <v>633</v>
      </c>
      <c r="C127" s="631"/>
      <c r="D127" s="632"/>
    </row>
    <row r="128" spans="1:24" x14ac:dyDescent="0.25">
      <c r="A128" s="465"/>
      <c r="B128" s="565" t="s">
        <v>216</v>
      </c>
      <c r="C128" s="53"/>
      <c r="D128" s="612"/>
    </row>
    <row r="129" spans="1:5" x14ac:dyDescent="0.25">
      <c r="A129" s="473" t="s">
        <v>265</v>
      </c>
      <c r="B129" s="474" t="s">
        <v>268</v>
      </c>
      <c r="C129" s="475" t="s">
        <v>206</v>
      </c>
      <c r="D129" s="567">
        <f>'SO05_KL 2_konstrukce'!G224</f>
        <v>464.34500000000003</v>
      </c>
      <c r="E129" s="450"/>
    </row>
    <row r="130" spans="1:5" x14ac:dyDescent="0.25">
      <c r="A130" s="465"/>
      <c r="B130" s="474"/>
      <c r="C130" s="466" t="s">
        <v>63</v>
      </c>
      <c r="D130" s="467">
        <f>'SO05_KL 2_konstrukce'!H224</f>
        <v>56557.220999999998</v>
      </c>
      <c r="E130" s="82"/>
    </row>
    <row r="131" spans="1:5" x14ac:dyDescent="0.25">
      <c r="A131" s="465" t="s">
        <v>260</v>
      </c>
      <c r="B131" s="474" t="s">
        <v>269</v>
      </c>
      <c r="C131" s="475" t="s">
        <v>206</v>
      </c>
      <c r="D131" s="467">
        <f>'SO05_KL 2_konstrukce'!H227</f>
        <v>464.34500000000003</v>
      </c>
      <c r="E131" s="82"/>
    </row>
    <row r="132" spans="1:5" x14ac:dyDescent="0.25">
      <c r="A132" s="465" t="s">
        <v>261</v>
      </c>
      <c r="B132" s="476" t="s">
        <v>64</v>
      </c>
      <c r="C132" s="53"/>
      <c r="D132" s="467"/>
      <c r="E132" s="82"/>
    </row>
    <row r="133" spans="1:5" x14ac:dyDescent="0.25">
      <c r="A133" s="465"/>
      <c r="B133" s="468" t="s">
        <v>496</v>
      </c>
      <c r="C133" s="466" t="s">
        <v>63</v>
      </c>
      <c r="D133" s="467">
        <f>'SO05_KL 2_konstrukce'!H235</f>
        <v>2190.8534999999997</v>
      </c>
      <c r="E133" s="82"/>
    </row>
    <row r="134" spans="1:5" x14ac:dyDescent="0.25">
      <c r="A134" s="465"/>
      <c r="B134" s="474" t="s">
        <v>280</v>
      </c>
      <c r="C134" s="466" t="s">
        <v>63</v>
      </c>
      <c r="D134" s="467">
        <f>'SO05_KL 2_konstrukce'!H243</f>
        <v>153.359745</v>
      </c>
      <c r="E134" s="82"/>
    </row>
    <row r="135" spans="1:5" ht="26.25" x14ac:dyDescent="0.25">
      <c r="A135" s="465"/>
      <c r="B135" s="468" t="s">
        <v>642</v>
      </c>
      <c r="C135" s="466" t="s">
        <v>63</v>
      </c>
      <c r="D135" s="467">
        <f>'SO05_KL 2_konstrukce'!H241</f>
        <v>1297.9291574999997</v>
      </c>
      <c r="E135" s="82"/>
    </row>
    <row r="136" spans="1:5" x14ac:dyDescent="0.25">
      <c r="A136" s="465"/>
      <c r="B136" s="84"/>
      <c r="C136" s="466"/>
      <c r="D136" s="467"/>
      <c r="E136" s="82"/>
    </row>
    <row r="137" spans="1:5" ht="22.5" customHeight="1" x14ac:dyDescent="0.25">
      <c r="A137" s="471" t="s">
        <v>634</v>
      </c>
      <c r="B137" s="469" t="s">
        <v>750</v>
      </c>
      <c r="C137" s="470" t="s">
        <v>63</v>
      </c>
      <c r="D137" s="615">
        <f>'SO05_KL 2_konstrukce'!H224</f>
        <v>56557.220999999998</v>
      </c>
      <c r="E137" s="82"/>
    </row>
    <row r="138" spans="1:5" x14ac:dyDescent="0.25">
      <c r="A138" s="465"/>
      <c r="B138" s="468" t="s">
        <v>497</v>
      </c>
      <c r="C138" s="466"/>
      <c r="D138" s="467"/>
      <c r="E138" s="82"/>
    </row>
    <row r="139" spans="1:5" x14ac:dyDescent="0.25">
      <c r="A139" s="465"/>
      <c r="B139" s="653"/>
      <c r="C139" s="466"/>
      <c r="D139" s="467"/>
      <c r="E139" s="82"/>
    </row>
    <row r="140" spans="1:5" x14ac:dyDescent="0.25">
      <c r="A140" s="660" t="s">
        <v>399</v>
      </c>
      <c r="B140" s="661" t="s">
        <v>400</v>
      </c>
      <c r="C140" s="631"/>
      <c r="D140" s="632"/>
    </row>
    <row r="141" spans="1:5" ht="30" x14ac:dyDescent="0.25">
      <c r="A141" s="465"/>
      <c r="B141" s="604" t="s">
        <v>542</v>
      </c>
      <c r="C141" s="53"/>
      <c r="D141" s="612"/>
    </row>
    <row r="142" spans="1:5" ht="30.75" thickBot="1" x14ac:dyDescent="0.3">
      <c r="A142" s="619"/>
      <c r="B142" s="620" t="s">
        <v>727</v>
      </c>
      <c r="C142" s="621" t="s">
        <v>726</v>
      </c>
      <c r="D142" s="622"/>
    </row>
    <row r="143" spans="1:5" x14ac:dyDescent="0.25">
      <c r="A143" s="83"/>
      <c r="B143" s="11"/>
      <c r="C143" s="11"/>
      <c r="D143" s="654"/>
    </row>
    <row r="144" spans="1:5" x14ac:dyDescent="0.25">
      <c r="A144" s="490"/>
      <c r="B144" s="11"/>
      <c r="C144" s="655"/>
      <c r="D144" s="655"/>
    </row>
    <row r="145" spans="1:12" x14ac:dyDescent="0.25">
      <c r="A145" s="656"/>
      <c r="B145" s="657"/>
      <c r="C145" s="655"/>
      <c r="D145" s="655"/>
      <c r="E145" s="11"/>
      <c r="F145" s="11"/>
      <c r="G145" s="11"/>
      <c r="H145" s="11"/>
      <c r="I145" s="11"/>
      <c r="J145" s="11"/>
      <c r="K145" s="11"/>
      <c r="L145" s="11"/>
    </row>
    <row r="146" spans="1:12" x14ac:dyDescent="0.25">
      <c r="B146" s="82"/>
      <c r="C146" s="82"/>
      <c r="D146" s="658"/>
      <c r="E146" s="82"/>
    </row>
    <row r="147" spans="1:12" x14ac:dyDescent="0.25">
      <c r="B147" s="82"/>
      <c r="C147" s="82"/>
      <c r="D147" s="658"/>
      <c r="E147" s="82"/>
    </row>
    <row r="148" spans="1:12" x14ac:dyDescent="0.25">
      <c r="B148" s="82"/>
      <c r="C148" s="82"/>
      <c r="D148" s="658"/>
      <c r="E148" s="82"/>
    </row>
    <row r="149" spans="1:12" x14ac:dyDescent="0.25">
      <c r="B149" s="82"/>
      <c r="C149" s="82"/>
      <c r="D149" s="658"/>
      <c r="E149" s="82"/>
    </row>
    <row r="150" spans="1:12" x14ac:dyDescent="0.25">
      <c r="B150" s="82"/>
      <c r="C150" s="82"/>
      <c r="D150" s="658"/>
      <c r="E150" s="82"/>
    </row>
    <row r="151" spans="1:12" x14ac:dyDescent="0.25">
      <c r="G151" s="641"/>
      <c r="H151" s="641"/>
    </row>
    <row r="152" spans="1:12" x14ac:dyDescent="0.25">
      <c r="G152" s="641"/>
      <c r="H152" s="641"/>
    </row>
    <row r="153" spans="1:12" x14ac:dyDescent="0.25">
      <c r="G153" s="641"/>
      <c r="H153" s="641"/>
    </row>
    <row r="154" spans="1:12" x14ac:dyDescent="0.25">
      <c r="B154" s="84"/>
      <c r="G154" s="641"/>
      <c r="H154" s="641"/>
    </row>
    <row r="155" spans="1:12" x14ac:dyDescent="0.25">
      <c r="B155" s="84"/>
      <c r="G155" s="641"/>
      <c r="H155" s="641"/>
    </row>
    <row r="156" spans="1:12" x14ac:dyDescent="0.25">
      <c r="G156" s="641"/>
      <c r="H156" s="641"/>
    </row>
  </sheetData>
  <phoneticPr fontId="22" type="noConversion"/>
  <pageMargins left="0.51181102362204722" right="0.51181102362204722" top="0.78740157480314965" bottom="0.78740157480314965" header="0.31496062992125984" footer="0.31496062992125984"/>
  <pageSetup paperSize="9" scale="95" orientation="portrait" r:id="rId1"/>
  <headerFooter>
    <oddHeader>&amp;RVýkaz výměr  SO 05</oddHeader>
    <oddFooter>&amp;L&amp;F&amp;C&amp;A]&amp;R&amp;10&amp;P/&amp;N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37"/>
  <sheetViews>
    <sheetView zoomScale="120" zoomScaleNormal="120" zoomScaleSheetLayoutView="85" workbookViewId="0">
      <selection activeCell="R73" sqref="R73"/>
    </sheetView>
  </sheetViews>
  <sheetFormatPr defaultRowHeight="15" x14ac:dyDescent="0.25"/>
  <cols>
    <col min="1" max="1" width="5.7109375" style="122" customWidth="1"/>
    <col min="2" max="2" width="7" style="128" customWidth="1"/>
    <col min="3" max="3" width="10.28515625" style="122" customWidth="1"/>
    <col min="4" max="4" width="12.7109375" style="122" customWidth="1"/>
    <col min="5" max="5" width="9.42578125" style="122" customWidth="1"/>
    <col min="6" max="7" width="8.7109375" style="122" customWidth="1"/>
    <col min="8" max="8" width="10" style="122" customWidth="1"/>
    <col min="9" max="9" width="8.5703125" style="122" customWidth="1"/>
    <col min="10" max="10" width="10.140625" style="122" customWidth="1"/>
    <col min="11" max="11" width="9.140625" style="122" customWidth="1"/>
    <col min="12" max="12" width="9.5703125" style="122" customWidth="1"/>
    <col min="13" max="13" width="8.42578125" style="670" customWidth="1"/>
    <col min="14" max="14" width="9.7109375" style="122" customWidth="1"/>
    <col min="15" max="15" width="11.42578125" style="122" bestFit="1" customWidth="1"/>
    <col min="16" max="16" width="9.140625" style="122"/>
    <col min="17" max="17" width="11.42578125" style="122" bestFit="1" customWidth="1"/>
    <col min="18" max="18" width="9.140625" style="122"/>
    <col min="19" max="19" width="11.28515625" style="122" customWidth="1"/>
    <col min="20" max="16384" width="9.140625" style="122"/>
  </cols>
  <sheetData>
    <row r="1" spans="1:11" x14ac:dyDescent="0.25">
      <c r="A1" s="121"/>
      <c r="B1" s="58" t="s">
        <v>19</v>
      </c>
      <c r="C1" s="59"/>
      <c r="D1" s="58"/>
      <c r="E1" s="59"/>
      <c r="F1" s="5"/>
      <c r="G1" s="5"/>
      <c r="H1" s="5"/>
      <c r="I1" s="5"/>
      <c r="J1" s="5"/>
      <c r="K1" s="5"/>
    </row>
    <row r="2" spans="1:11" x14ac:dyDescent="0.25">
      <c r="A2" s="121"/>
      <c r="B2" s="60" t="s">
        <v>17</v>
      </c>
      <c r="C2" s="59"/>
      <c r="D2" s="60"/>
      <c r="E2" s="59"/>
      <c r="F2" s="5"/>
      <c r="G2" s="5"/>
      <c r="H2" s="5"/>
      <c r="I2" s="5"/>
      <c r="J2" s="5"/>
      <c r="K2" s="5"/>
    </row>
    <row r="3" spans="1:11" x14ac:dyDescent="0.25">
      <c r="A3" s="121"/>
      <c r="B3" s="61" t="s">
        <v>0</v>
      </c>
      <c r="C3" s="200"/>
      <c r="D3" s="61"/>
      <c r="E3" s="200"/>
      <c r="F3" s="5"/>
      <c r="G3" s="5"/>
      <c r="H3" s="5"/>
      <c r="I3" s="5"/>
      <c r="J3" s="5"/>
      <c r="K3" s="5"/>
    </row>
    <row r="4" spans="1:11" x14ac:dyDescent="0.25">
      <c r="A4" s="121"/>
      <c r="B4" s="61" t="s">
        <v>1</v>
      </c>
      <c r="C4" s="200"/>
      <c r="D4" s="61"/>
      <c r="E4" s="200"/>
      <c r="F4" s="5"/>
      <c r="G4" s="5"/>
      <c r="H4" s="5"/>
      <c r="I4" s="5"/>
      <c r="J4" s="5"/>
      <c r="K4" s="5"/>
    </row>
    <row r="5" spans="1:11" x14ac:dyDescent="0.25">
      <c r="A5" s="121"/>
      <c r="B5" s="201" t="s">
        <v>779</v>
      </c>
      <c r="C5" s="200"/>
      <c r="D5" s="201"/>
      <c r="E5" s="200"/>
      <c r="F5" s="5"/>
      <c r="G5" s="5"/>
      <c r="H5" s="5"/>
      <c r="I5" s="5"/>
      <c r="J5" s="5"/>
      <c r="K5" s="5"/>
    </row>
    <row r="6" spans="1:11" x14ac:dyDescent="0.25">
      <c r="A6" s="121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x14ac:dyDescent="0.25">
      <c r="A7" s="121"/>
      <c r="B7" s="60" t="s">
        <v>18</v>
      </c>
      <c r="C7" s="5"/>
      <c r="D7" s="5"/>
      <c r="E7" s="5"/>
      <c r="F7" s="5"/>
      <c r="G7" s="5"/>
      <c r="H7" s="5"/>
      <c r="I7" s="5"/>
      <c r="J7" s="5"/>
      <c r="K7" s="5"/>
    </row>
    <row r="8" spans="1:11" x14ac:dyDescent="0.25">
      <c r="A8" s="121"/>
      <c r="B8" s="60" t="s">
        <v>442</v>
      </c>
      <c r="C8" s="43"/>
      <c r="D8" s="60"/>
      <c r="E8" s="43"/>
      <c r="F8" s="5"/>
      <c r="G8" s="5"/>
      <c r="H8" s="5"/>
      <c r="I8" s="5"/>
      <c r="J8" s="5"/>
      <c r="K8" s="5"/>
    </row>
    <row r="9" spans="1:11" ht="15.75" x14ac:dyDescent="0.25">
      <c r="A9" s="121"/>
      <c r="B9" s="202"/>
      <c r="C9" s="5"/>
      <c r="D9" s="5"/>
      <c r="E9" s="5"/>
      <c r="F9" s="5"/>
      <c r="G9" s="5"/>
      <c r="H9" s="5"/>
      <c r="I9" s="5"/>
      <c r="J9" s="5"/>
      <c r="K9" s="5"/>
    </row>
    <row r="10" spans="1:11" x14ac:dyDescent="0.25">
      <c r="B10" s="203">
        <v>1</v>
      </c>
      <c r="C10" s="204" t="s">
        <v>65</v>
      </c>
      <c r="D10" s="204"/>
      <c r="E10" s="5"/>
      <c r="F10" s="5"/>
      <c r="G10" s="5"/>
      <c r="H10" s="5"/>
      <c r="I10" s="5"/>
      <c r="J10" s="5"/>
      <c r="K10" s="5"/>
    </row>
    <row r="11" spans="1:11" x14ac:dyDescent="0.25">
      <c r="B11" s="205" t="s">
        <v>20</v>
      </c>
      <c r="C11" s="5" t="s">
        <v>430</v>
      </c>
      <c r="D11" s="5"/>
      <c r="E11" s="5"/>
      <c r="F11" s="5"/>
      <c r="G11" s="5"/>
      <c r="H11" s="5"/>
      <c r="I11" s="5"/>
      <c r="J11" s="5"/>
      <c r="K11" s="5"/>
    </row>
    <row r="12" spans="1:11" x14ac:dyDescent="0.25">
      <c r="B12" s="205"/>
      <c r="C12" s="5" t="s">
        <v>25</v>
      </c>
      <c r="D12" s="5"/>
      <c r="E12" s="5"/>
      <c r="F12" s="5"/>
      <c r="G12" s="5"/>
      <c r="H12" s="5"/>
      <c r="I12" s="5"/>
      <c r="J12" s="5"/>
      <c r="K12" s="5"/>
    </row>
    <row r="13" spans="1:11" x14ac:dyDescent="0.25">
      <c r="B13" s="205"/>
      <c r="C13" s="5" t="s">
        <v>21</v>
      </c>
      <c r="D13" s="5"/>
      <c r="E13" s="5"/>
      <c r="F13" s="5">
        <v>3.7</v>
      </c>
      <c r="G13" s="5" t="s">
        <v>23</v>
      </c>
      <c r="H13" s="5"/>
      <c r="I13" s="5"/>
      <c r="J13" s="5"/>
      <c r="K13" s="5"/>
    </row>
    <row r="14" spans="1:11" x14ac:dyDescent="0.25">
      <c r="B14" s="205"/>
      <c r="C14" s="120" t="s">
        <v>26</v>
      </c>
      <c r="D14" s="120"/>
      <c r="E14" s="120"/>
      <c r="F14" s="120">
        <v>26</v>
      </c>
      <c r="G14" s="120" t="s">
        <v>7</v>
      </c>
      <c r="H14" s="120"/>
      <c r="I14" s="5"/>
      <c r="J14" s="5"/>
      <c r="K14" s="5"/>
    </row>
    <row r="15" spans="1:11" x14ac:dyDescent="0.25">
      <c r="B15" s="205"/>
      <c r="C15" s="84" t="s">
        <v>22</v>
      </c>
      <c r="D15" s="5"/>
      <c r="E15" s="5"/>
      <c r="F15" s="5"/>
      <c r="G15" s="5"/>
      <c r="H15" s="5"/>
      <c r="I15" s="5">
        <f>F13*F14</f>
        <v>96.2</v>
      </c>
      <c r="J15" s="5" t="s">
        <v>24</v>
      </c>
      <c r="K15" s="5"/>
    </row>
    <row r="16" spans="1:11" x14ac:dyDescent="0.25">
      <c r="B16" s="205"/>
      <c r="C16" s="5" t="s">
        <v>27</v>
      </c>
      <c r="D16" s="5"/>
      <c r="E16" s="5"/>
      <c r="F16" s="5"/>
      <c r="G16" s="5"/>
      <c r="H16" s="5"/>
      <c r="I16" s="5"/>
      <c r="J16" s="5"/>
      <c r="K16" s="5"/>
    </row>
    <row r="17" spans="2:11" x14ac:dyDescent="0.25">
      <c r="B17" s="205"/>
      <c r="C17" s="5" t="s">
        <v>21</v>
      </c>
      <c r="D17" s="5"/>
      <c r="E17" s="5"/>
      <c r="F17" s="5">
        <v>1</v>
      </c>
      <c r="G17" s="5" t="s">
        <v>23</v>
      </c>
      <c r="H17" s="5"/>
      <c r="I17" s="5"/>
      <c r="J17" s="5"/>
      <c r="K17" s="5"/>
    </row>
    <row r="18" spans="2:11" x14ac:dyDescent="0.25">
      <c r="B18" s="205"/>
      <c r="C18" s="120" t="s">
        <v>26</v>
      </c>
      <c r="D18" s="120"/>
      <c r="E18" s="120"/>
      <c r="F18" s="120">
        <v>3</v>
      </c>
      <c r="G18" s="120" t="s">
        <v>7</v>
      </c>
      <c r="H18" s="120"/>
      <c r="I18" s="5"/>
      <c r="J18" s="5"/>
      <c r="K18" s="5"/>
    </row>
    <row r="19" spans="2:11" ht="15.75" thickBot="1" x14ac:dyDescent="0.3">
      <c r="B19" s="205"/>
      <c r="C19" s="84" t="s">
        <v>22</v>
      </c>
      <c r="D19" s="11"/>
      <c r="E19" s="11"/>
      <c r="F19" s="11"/>
      <c r="G19" s="11"/>
      <c r="H19" s="11"/>
      <c r="I19" s="11">
        <f>F17*F18</f>
        <v>3</v>
      </c>
      <c r="J19" s="11" t="s">
        <v>24</v>
      </c>
      <c r="K19" s="5"/>
    </row>
    <row r="20" spans="2:11" ht="15.75" thickBot="1" x14ac:dyDescent="0.3">
      <c r="B20" s="205"/>
      <c r="C20" s="206" t="s">
        <v>59</v>
      </c>
      <c r="D20" s="207"/>
      <c r="E20" s="207"/>
      <c r="F20" s="207"/>
      <c r="G20" s="207"/>
      <c r="H20" s="207"/>
      <c r="I20" s="207">
        <f>SUM(I15:I19)</f>
        <v>99.2</v>
      </c>
      <c r="J20" s="208" t="s">
        <v>24</v>
      </c>
      <c r="K20" s="5"/>
    </row>
    <row r="21" spans="2:11" x14ac:dyDescent="0.25">
      <c r="B21" s="122"/>
      <c r="C21" s="209" t="s">
        <v>199</v>
      </c>
      <c r="D21" s="5"/>
      <c r="E21" s="5"/>
    </row>
    <row r="22" spans="2:11" x14ac:dyDescent="0.25">
      <c r="B22" s="205" t="s">
        <v>62</v>
      </c>
      <c r="C22" s="5" t="s">
        <v>28</v>
      </c>
      <c r="D22" s="5"/>
      <c r="E22" s="5"/>
      <c r="F22" s="5"/>
      <c r="G22" s="5"/>
      <c r="H22" s="5"/>
      <c r="I22" s="5"/>
      <c r="J22" s="5"/>
    </row>
    <row r="23" spans="2:11" x14ac:dyDescent="0.25">
      <c r="B23" s="205"/>
      <c r="C23" s="5" t="s">
        <v>29</v>
      </c>
      <c r="D23" s="5"/>
      <c r="E23" s="5"/>
      <c r="F23" s="5"/>
      <c r="G23" s="5"/>
      <c r="H23" s="5"/>
      <c r="I23" s="5"/>
      <c r="J23" s="5"/>
    </row>
    <row r="24" spans="2:11" x14ac:dyDescent="0.25">
      <c r="B24" s="205"/>
      <c r="C24" s="5" t="s">
        <v>443</v>
      </c>
      <c r="D24" s="5"/>
      <c r="E24" s="5"/>
      <c r="F24" s="5">
        <v>2.7</v>
      </c>
      <c r="G24" s="5" t="s">
        <v>23</v>
      </c>
      <c r="H24" s="5"/>
      <c r="I24" s="5"/>
      <c r="J24" s="5"/>
    </row>
    <row r="25" spans="2:11" x14ac:dyDescent="0.25">
      <c r="B25" s="203"/>
      <c r="C25" s="120" t="s">
        <v>30</v>
      </c>
      <c r="D25" s="120"/>
      <c r="E25" s="120"/>
      <c r="F25" s="120">
        <v>3</v>
      </c>
      <c r="G25" s="120" t="s">
        <v>7</v>
      </c>
      <c r="H25" s="120"/>
      <c r="I25" s="5"/>
      <c r="J25" s="5"/>
    </row>
    <row r="26" spans="2:11" x14ac:dyDescent="0.25">
      <c r="B26" s="203"/>
      <c r="C26" s="84" t="s">
        <v>22</v>
      </c>
      <c r="D26" s="5"/>
      <c r="E26" s="5"/>
      <c r="F26" s="5"/>
      <c r="G26" s="5"/>
      <c r="H26" s="5"/>
      <c r="I26" s="5">
        <f>F24*F25</f>
        <v>8.1000000000000014</v>
      </c>
      <c r="J26" s="5" t="s">
        <v>24</v>
      </c>
    </row>
    <row r="27" spans="2:11" x14ac:dyDescent="0.25">
      <c r="B27" s="205" t="s">
        <v>66</v>
      </c>
      <c r="C27" s="210" t="s">
        <v>56</v>
      </c>
      <c r="D27" s="5"/>
      <c r="E27" s="5"/>
      <c r="F27" s="5"/>
      <c r="G27" s="5"/>
      <c r="H27" s="5"/>
      <c r="I27" s="5">
        <v>34</v>
      </c>
      <c r="J27" s="5" t="s">
        <v>7</v>
      </c>
      <c r="K27" s="5"/>
    </row>
    <row r="28" spans="2:11" x14ac:dyDescent="0.25">
      <c r="B28" s="205"/>
      <c r="C28" s="210"/>
      <c r="D28" s="5"/>
      <c r="E28" s="5" t="s">
        <v>321</v>
      </c>
      <c r="F28" s="5"/>
      <c r="G28" s="5" t="s">
        <v>322</v>
      </c>
      <c r="H28" s="5"/>
      <c r="I28" s="43">
        <f>34/1.8+2</f>
        <v>20.888888888888889</v>
      </c>
      <c r="J28" s="5" t="s">
        <v>40</v>
      </c>
      <c r="K28" s="5"/>
    </row>
    <row r="29" spans="2:11" x14ac:dyDescent="0.25">
      <c r="B29" s="205"/>
      <c r="C29" s="210"/>
      <c r="D29" s="5"/>
      <c r="E29" s="5"/>
      <c r="F29" s="5"/>
      <c r="G29" s="5"/>
      <c r="H29" s="5"/>
      <c r="I29" s="5"/>
      <c r="J29" s="5"/>
      <c r="K29" s="5"/>
    </row>
    <row r="30" spans="2:11" x14ac:dyDescent="0.25">
      <c r="B30" s="205"/>
      <c r="C30" s="210"/>
      <c r="D30" s="5"/>
      <c r="E30" s="5"/>
      <c r="F30" s="5"/>
      <c r="G30" s="5"/>
      <c r="H30" s="5"/>
      <c r="I30" s="5"/>
      <c r="J30" s="5"/>
      <c r="K30" s="5"/>
    </row>
    <row r="31" spans="2:11" x14ac:dyDescent="0.25">
      <c r="B31" s="205"/>
      <c r="C31" s="210"/>
      <c r="D31" s="5"/>
      <c r="E31" s="5"/>
      <c r="F31" s="5"/>
      <c r="G31" s="5"/>
      <c r="H31" s="5"/>
      <c r="I31" s="5"/>
      <c r="J31" s="5"/>
      <c r="K31" s="5"/>
    </row>
    <row r="32" spans="2:11" x14ac:dyDescent="0.25">
      <c r="B32" s="205"/>
      <c r="C32" s="210"/>
      <c r="D32" s="5"/>
      <c r="E32" s="5"/>
      <c r="F32" s="5"/>
      <c r="G32" s="5"/>
      <c r="H32" s="5"/>
      <c r="I32" s="5"/>
      <c r="J32" s="5"/>
      <c r="K32" s="5"/>
    </row>
    <row r="33" spans="2:14" x14ac:dyDescent="0.25">
      <c r="B33" s="205"/>
      <c r="C33" s="210"/>
      <c r="D33" s="5"/>
      <c r="E33" s="5"/>
      <c r="F33" s="5"/>
      <c r="G33" s="5"/>
      <c r="H33" s="5"/>
      <c r="I33" s="5"/>
      <c r="J33" s="5"/>
      <c r="K33" s="5"/>
    </row>
    <row r="34" spans="2:14" x14ac:dyDescent="0.25">
      <c r="B34" s="205"/>
      <c r="C34" s="210"/>
      <c r="D34" s="5"/>
      <c r="E34" s="5"/>
      <c r="F34" s="5"/>
      <c r="G34" s="5"/>
      <c r="H34" s="5"/>
      <c r="I34" s="5"/>
      <c r="J34" s="5"/>
      <c r="K34" s="5"/>
    </row>
    <row r="35" spans="2:14" x14ac:dyDescent="0.25">
      <c r="B35" s="205"/>
      <c r="C35" s="210"/>
      <c r="D35" s="5"/>
      <c r="E35" s="5"/>
      <c r="F35" s="5"/>
      <c r="G35" s="5"/>
      <c r="H35" s="5"/>
      <c r="I35" s="5"/>
      <c r="J35" s="5"/>
      <c r="K35" s="5"/>
    </row>
    <row r="36" spans="2:14" x14ac:dyDescent="0.25">
      <c r="B36" s="205"/>
      <c r="C36" s="210"/>
      <c r="D36" s="5"/>
      <c r="E36" s="5"/>
      <c r="F36" s="5"/>
      <c r="G36" s="5"/>
      <c r="H36" s="5"/>
      <c r="I36" s="5"/>
      <c r="J36" s="5"/>
      <c r="K36" s="5"/>
    </row>
    <row r="37" spans="2:14" x14ac:dyDescent="0.25">
      <c r="B37" s="205"/>
      <c r="C37" s="211" t="s">
        <v>316</v>
      </c>
      <c r="D37" s="211" t="s">
        <v>317</v>
      </c>
      <c r="E37" s="5" t="s">
        <v>323</v>
      </c>
      <c r="F37" s="5"/>
      <c r="G37" s="43">
        <f>21*1.1*2.09</f>
        <v>48.278999999999996</v>
      </c>
      <c r="H37" s="5" t="s">
        <v>63</v>
      </c>
      <c r="I37" s="5"/>
      <c r="J37" s="5"/>
      <c r="K37" s="5"/>
    </row>
    <row r="38" spans="2:14" x14ac:dyDescent="0.25">
      <c r="B38" s="205"/>
      <c r="C38" s="211" t="s">
        <v>318</v>
      </c>
      <c r="D38" s="5"/>
      <c r="E38" s="212" t="s">
        <v>324</v>
      </c>
      <c r="F38" s="5"/>
      <c r="G38" s="213">
        <f>34*2.09</f>
        <v>71.06</v>
      </c>
      <c r="H38" s="5" t="s">
        <v>63</v>
      </c>
      <c r="I38" s="5"/>
      <c r="J38" s="5"/>
      <c r="K38" s="5"/>
    </row>
    <row r="39" spans="2:14" x14ac:dyDescent="0.25">
      <c r="B39" s="205"/>
      <c r="C39" s="214" t="s">
        <v>319</v>
      </c>
      <c r="D39" s="120"/>
      <c r="E39" s="215" t="s">
        <v>325</v>
      </c>
      <c r="F39" s="120"/>
      <c r="G39" s="120">
        <f>34*1.38</f>
        <v>46.919999999999995</v>
      </c>
      <c r="H39" s="120" t="s">
        <v>63</v>
      </c>
      <c r="I39" s="5"/>
      <c r="J39" s="5"/>
      <c r="K39" s="5"/>
    </row>
    <row r="40" spans="2:14" x14ac:dyDescent="0.25">
      <c r="B40" s="205"/>
      <c r="C40" s="211" t="s">
        <v>320</v>
      </c>
      <c r="D40" s="212"/>
      <c r="E40" s="5"/>
      <c r="F40" s="5"/>
      <c r="G40" s="213">
        <f>SUM(G37:G39)</f>
        <v>166.25899999999999</v>
      </c>
      <c r="H40" s="5" t="s">
        <v>63</v>
      </c>
      <c r="I40" s="5"/>
      <c r="J40" s="5"/>
      <c r="K40" s="5"/>
    </row>
    <row r="41" spans="2:14" x14ac:dyDescent="0.25">
      <c r="B41" s="124"/>
      <c r="C41" s="127"/>
    </row>
    <row r="42" spans="2:14" x14ac:dyDescent="0.25">
      <c r="B42" s="205" t="s">
        <v>67</v>
      </c>
      <c r="C42" s="5" t="s">
        <v>444</v>
      </c>
      <c r="D42" s="5"/>
      <c r="E42" s="5"/>
      <c r="F42" s="5"/>
      <c r="G42" s="5"/>
      <c r="H42" s="5"/>
      <c r="I42" s="5"/>
      <c r="J42" s="5"/>
    </row>
    <row r="43" spans="2:14" x14ac:dyDescent="0.25">
      <c r="B43" s="205"/>
      <c r="C43" s="5" t="s">
        <v>57</v>
      </c>
      <c r="D43" s="5"/>
      <c r="E43" s="5"/>
      <c r="F43" s="5"/>
      <c r="G43" s="5"/>
      <c r="H43" s="5"/>
      <c r="I43" s="5">
        <v>66</v>
      </c>
      <c r="J43" s="5" t="s">
        <v>7</v>
      </c>
    </row>
    <row r="44" spans="2:14" x14ac:dyDescent="0.25">
      <c r="B44" s="205"/>
      <c r="C44" s="120" t="s">
        <v>58</v>
      </c>
      <c r="D44" s="120" t="s">
        <v>60</v>
      </c>
      <c r="E44" s="120"/>
      <c r="F44" s="120"/>
      <c r="G44" s="120"/>
      <c r="H44" s="120"/>
      <c r="I44" s="120">
        <v>52</v>
      </c>
      <c r="J44" s="120" t="s">
        <v>7</v>
      </c>
    </row>
    <row r="45" spans="2:14" ht="17.25" customHeight="1" x14ac:dyDescent="0.25">
      <c r="B45" s="205"/>
      <c r="C45" s="84" t="s">
        <v>59</v>
      </c>
      <c r="D45" s="5"/>
      <c r="E45" s="5"/>
      <c r="F45" s="5"/>
      <c r="G45" s="5"/>
      <c r="H45" s="5"/>
      <c r="I45" s="5">
        <f>SUM(I43:I44)</f>
        <v>118</v>
      </c>
      <c r="J45" s="5" t="s">
        <v>7</v>
      </c>
    </row>
    <row r="46" spans="2:14" ht="17.25" customHeight="1" x14ac:dyDescent="0.25">
      <c r="B46" s="205"/>
      <c r="C46" s="84" t="s">
        <v>561</v>
      </c>
      <c r="D46" s="5" t="s">
        <v>562</v>
      </c>
      <c r="E46" s="5"/>
      <c r="F46" s="5"/>
      <c r="G46" s="5"/>
      <c r="H46" s="5"/>
      <c r="I46" s="213">
        <v>2.6</v>
      </c>
      <c r="J46" s="5" t="s">
        <v>63</v>
      </c>
    </row>
    <row r="47" spans="2:14" s="5" customFormat="1" x14ac:dyDescent="0.25">
      <c r="B47" s="205" t="s">
        <v>68</v>
      </c>
      <c r="C47" s="210" t="s">
        <v>432</v>
      </c>
      <c r="I47" s="5">
        <v>40</v>
      </c>
      <c r="J47" s="5" t="s">
        <v>7</v>
      </c>
      <c r="M47" s="82"/>
    </row>
    <row r="48" spans="2:14" x14ac:dyDescent="0.25">
      <c r="B48" s="205" t="s">
        <v>69</v>
      </c>
      <c r="C48" s="82" t="s">
        <v>61</v>
      </c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</row>
    <row r="49" spans="2:14" ht="23.25" x14ac:dyDescent="0.35">
      <c r="B49" s="205"/>
      <c r="C49" s="84" t="s">
        <v>31</v>
      </c>
      <c r="D49" s="84"/>
      <c r="E49" s="82">
        <f>3.5*52</f>
        <v>182</v>
      </c>
      <c r="F49" s="82" t="s">
        <v>23</v>
      </c>
      <c r="G49" s="84"/>
      <c r="H49" s="84"/>
      <c r="I49" s="82"/>
      <c r="J49" s="84"/>
      <c r="K49" s="82"/>
      <c r="L49" s="326"/>
      <c r="M49" s="326"/>
      <c r="N49" s="82"/>
    </row>
    <row r="50" spans="2:14" x14ac:dyDescent="0.25">
      <c r="B50" s="205"/>
      <c r="C50" s="88" t="s">
        <v>32</v>
      </c>
      <c r="D50" s="88"/>
      <c r="E50" s="88">
        <v>0.3</v>
      </c>
      <c r="F50" s="88" t="s">
        <v>7</v>
      </c>
      <c r="G50" s="88"/>
      <c r="H50" s="88"/>
      <c r="I50" s="88"/>
      <c r="J50" s="88"/>
      <c r="K50" s="82"/>
      <c r="L50" s="82"/>
      <c r="M50" s="82"/>
      <c r="N50" s="82"/>
    </row>
    <row r="51" spans="2:14" x14ac:dyDescent="0.25">
      <c r="B51" s="205"/>
      <c r="C51" s="84" t="s">
        <v>22</v>
      </c>
      <c r="D51" s="82"/>
      <c r="E51" s="82"/>
      <c r="F51" s="82"/>
      <c r="G51" s="82"/>
      <c r="H51" s="82"/>
      <c r="I51" s="82">
        <f>E49*E50</f>
        <v>54.6</v>
      </c>
      <c r="J51" s="82" t="s">
        <v>24</v>
      </c>
      <c r="K51" s="82"/>
      <c r="L51" s="82"/>
      <c r="M51" s="82"/>
      <c r="N51" s="82"/>
    </row>
    <row r="52" spans="2:14" x14ac:dyDescent="0.25">
      <c r="B52" s="205" t="s">
        <v>54</v>
      </c>
      <c r="C52" s="216" t="s">
        <v>55</v>
      </c>
      <c r="D52" s="5"/>
      <c r="E52" s="5"/>
      <c r="F52" s="5"/>
      <c r="G52" s="5"/>
      <c r="H52" s="5"/>
      <c r="I52" s="5"/>
      <c r="J52" s="5"/>
      <c r="K52" s="5"/>
    </row>
    <row r="53" spans="2:14" x14ac:dyDescent="0.25">
      <c r="B53" s="205"/>
      <c r="C53" s="216" t="s">
        <v>33</v>
      </c>
      <c r="D53" s="5"/>
      <c r="E53" s="5"/>
      <c r="F53" s="5" t="s">
        <v>559</v>
      </c>
      <c r="G53" s="5"/>
      <c r="H53" s="5"/>
      <c r="I53" s="5"/>
      <c r="J53" s="5">
        <v>23</v>
      </c>
      <c r="K53" s="5" t="s">
        <v>7</v>
      </c>
    </row>
    <row r="54" spans="2:14" x14ac:dyDescent="0.25">
      <c r="B54" s="205"/>
      <c r="C54" s="216" t="s">
        <v>560</v>
      </c>
      <c r="D54" s="5"/>
      <c r="E54" s="5"/>
      <c r="F54" s="5"/>
      <c r="G54" s="5"/>
      <c r="H54" s="5"/>
      <c r="I54" s="5"/>
      <c r="J54" s="5">
        <v>1</v>
      </c>
      <c r="K54" s="5" t="s">
        <v>40</v>
      </c>
    </row>
    <row r="55" spans="2:14" x14ac:dyDescent="0.25">
      <c r="B55" s="205"/>
      <c r="C55" s="216"/>
      <c r="D55" s="5"/>
      <c r="E55" s="5"/>
      <c r="F55" s="5"/>
      <c r="G55" s="5"/>
      <c r="H55" s="5"/>
      <c r="I55" s="5"/>
      <c r="J55" s="5"/>
      <c r="K55" s="5"/>
    </row>
    <row r="56" spans="2:14" x14ac:dyDescent="0.25">
      <c r="B56" s="217" t="s">
        <v>70</v>
      </c>
      <c r="C56" s="218" t="s">
        <v>5</v>
      </c>
      <c r="D56" s="204"/>
      <c r="E56" s="204"/>
      <c r="F56" s="5"/>
      <c r="G56" s="5"/>
      <c r="H56" s="5"/>
      <c r="I56" s="5"/>
      <c r="J56" s="5"/>
      <c r="K56" s="5"/>
      <c r="L56" s="5"/>
    </row>
    <row r="57" spans="2:14" x14ac:dyDescent="0.25">
      <c r="B57" s="85" t="s">
        <v>71</v>
      </c>
      <c r="C57" s="5" t="s">
        <v>476</v>
      </c>
      <c r="D57" s="5"/>
      <c r="E57" s="5"/>
      <c r="F57" s="5"/>
      <c r="G57" s="5"/>
      <c r="H57" s="5"/>
      <c r="I57" s="5"/>
      <c r="J57" s="5"/>
      <c r="K57" s="5"/>
      <c r="L57" s="5"/>
    </row>
    <row r="58" spans="2:14" x14ac:dyDescent="0.25">
      <c r="B58" s="85"/>
      <c r="C58" s="219"/>
      <c r="D58" s="220"/>
      <c r="E58" s="221" t="s">
        <v>469</v>
      </c>
      <c r="F58" s="222"/>
      <c r="G58" s="222"/>
      <c r="H58" s="220"/>
      <c r="I58" s="221" t="s">
        <v>470</v>
      </c>
      <c r="J58" s="222"/>
      <c r="K58" s="222"/>
      <c r="L58" s="220"/>
    </row>
    <row r="59" spans="2:14" x14ac:dyDescent="0.25">
      <c r="B59" s="85"/>
      <c r="C59" s="223" t="s">
        <v>464</v>
      </c>
      <c r="D59" s="224"/>
      <c r="E59" s="225" t="s">
        <v>336</v>
      </c>
      <c r="F59" s="225" t="s">
        <v>337</v>
      </c>
      <c r="G59" s="225" t="s">
        <v>338</v>
      </c>
      <c r="H59" s="226" t="s">
        <v>339</v>
      </c>
      <c r="I59" s="227" t="s">
        <v>340</v>
      </c>
      <c r="J59" s="225" t="s">
        <v>341</v>
      </c>
      <c r="K59" s="5"/>
      <c r="L59" s="226" t="s">
        <v>472</v>
      </c>
    </row>
    <row r="60" spans="2:14" x14ac:dyDescent="0.25">
      <c r="B60" s="85"/>
      <c r="C60" s="221" t="s">
        <v>761</v>
      </c>
      <c r="D60" s="220"/>
      <c r="E60" s="222" t="s">
        <v>331</v>
      </c>
      <c r="F60" s="222" t="s">
        <v>332</v>
      </c>
      <c r="G60" s="222" t="s">
        <v>333</v>
      </c>
      <c r="H60" s="228" t="s">
        <v>463</v>
      </c>
      <c r="I60" s="221" t="s">
        <v>331</v>
      </c>
      <c r="J60" s="222" t="s">
        <v>332</v>
      </c>
      <c r="K60" s="222" t="s">
        <v>333</v>
      </c>
      <c r="L60" s="220" t="s">
        <v>463</v>
      </c>
    </row>
    <row r="61" spans="2:14" x14ac:dyDescent="0.25">
      <c r="B61" s="85"/>
      <c r="C61" s="229" t="s">
        <v>327</v>
      </c>
      <c r="D61" s="224"/>
      <c r="E61" s="84">
        <v>17</v>
      </c>
      <c r="F61" s="84">
        <v>2</v>
      </c>
      <c r="G61" s="84"/>
      <c r="H61" s="224"/>
      <c r="I61" s="229">
        <v>2</v>
      </c>
      <c r="J61" s="84">
        <v>2</v>
      </c>
      <c r="K61" s="84">
        <v>0</v>
      </c>
      <c r="L61" s="224">
        <v>1</v>
      </c>
    </row>
    <row r="62" spans="2:14" x14ac:dyDescent="0.25">
      <c r="B62" s="85"/>
      <c r="C62" s="229" t="s">
        <v>329</v>
      </c>
      <c r="D62" s="224"/>
      <c r="E62" s="84">
        <v>12</v>
      </c>
      <c r="F62" s="84">
        <v>4</v>
      </c>
      <c r="G62" s="84">
        <v>4</v>
      </c>
      <c r="H62" s="224">
        <v>1</v>
      </c>
      <c r="I62" s="229">
        <v>5</v>
      </c>
      <c r="J62" s="230">
        <v>1</v>
      </c>
      <c r="K62" s="84">
        <v>3</v>
      </c>
      <c r="L62" s="224"/>
    </row>
    <row r="63" spans="2:14" x14ac:dyDescent="0.25">
      <c r="B63" s="85"/>
      <c r="C63" s="229" t="s">
        <v>330</v>
      </c>
      <c r="D63" s="224"/>
      <c r="E63" s="84">
        <v>14</v>
      </c>
      <c r="F63" s="84">
        <v>2</v>
      </c>
      <c r="G63" s="84">
        <v>4</v>
      </c>
      <c r="H63" s="224">
        <v>2</v>
      </c>
      <c r="I63" s="229">
        <v>7</v>
      </c>
      <c r="J63" s="84">
        <v>2</v>
      </c>
      <c r="K63" s="84">
        <v>3</v>
      </c>
      <c r="L63" s="224">
        <v>1</v>
      </c>
    </row>
    <row r="64" spans="2:14" x14ac:dyDescent="0.25">
      <c r="B64" s="85"/>
      <c r="C64" s="229" t="s">
        <v>57</v>
      </c>
      <c r="D64" s="224"/>
      <c r="E64" s="84">
        <v>21</v>
      </c>
      <c r="F64" s="84">
        <v>5</v>
      </c>
      <c r="G64" s="84">
        <v>2</v>
      </c>
      <c r="H64" s="224">
        <v>1</v>
      </c>
      <c r="I64" s="229">
        <v>14</v>
      </c>
      <c r="J64" s="84">
        <v>2</v>
      </c>
      <c r="K64" s="84">
        <v>2</v>
      </c>
      <c r="L64" s="224"/>
    </row>
    <row r="65" spans="2:24" x14ac:dyDescent="0.25">
      <c r="B65" s="85"/>
      <c r="C65" s="223" t="s">
        <v>468</v>
      </c>
      <c r="D65" s="224"/>
      <c r="E65" s="84"/>
      <c r="F65" s="84"/>
      <c r="G65" s="84"/>
      <c r="H65" s="224"/>
      <c r="I65" s="229"/>
      <c r="J65" s="84"/>
      <c r="K65" s="84"/>
      <c r="L65" s="224"/>
    </row>
    <row r="66" spans="2:24" x14ac:dyDescent="0.25">
      <c r="B66" s="85"/>
      <c r="C66" s="229" t="s">
        <v>334</v>
      </c>
      <c r="D66" s="224"/>
      <c r="E66" s="84">
        <v>22</v>
      </c>
      <c r="F66" s="84">
        <v>15</v>
      </c>
      <c r="G66" s="84">
        <v>4</v>
      </c>
      <c r="H66" s="224">
        <v>1</v>
      </c>
      <c r="I66" s="229">
        <v>8</v>
      </c>
      <c r="J66" s="84">
        <v>3</v>
      </c>
      <c r="K66" s="84">
        <v>2</v>
      </c>
      <c r="L66" s="224">
        <v>1</v>
      </c>
    </row>
    <row r="67" spans="2:24" x14ac:dyDescent="0.25">
      <c r="B67" s="85"/>
      <c r="C67" s="229" t="s">
        <v>465</v>
      </c>
      <c r="D67" s="224"/>
      <c r="E67" s="84">
        <v>14</v>
      </c>
      <c r="F67" s="84">
        <v>5</v>
      </c>
      <c r="G67" s="84">
        <v>2</v>
      </c>
      <c r="H67" s="224">
        <v>1</v>
      </c>
      <c r="I67" s="229">
        <v>6</v>
      </c>
      <c r="J67" s="84">
        <v>4</v>
      </c>
      <c r="K67" s="84">
        <v>2</v>
      </c>
      <c r="L67" s="224">
        <v>1</v>
      </c>
    </row>
    <row r="68" spans="2:24" x14ac:dyDescent="0.25">
      <c r="B68" s="85"/>
      <c r="C68" s="229" t="s">
        <v>466</v>
      </c>
      <c r="D68" s="224"/>
      <c r="E68" s="84">
        <v>7</v>
      </c>
      <c r="F68" s="84">
        <v>14</v>
      </c>
      <c r="G68" s="84">
        <v>7</v>
      </c>
      <c r="H68" s="224"/>
      <c r="I68" s="229">
        <v>3</v>
      </c>
      <c r="J68" s="84">
        <v>4</v>
      </c>
      <c r="K68" s="84">
        <v>2</v>
      </c>
      <c r="L68" s="224">
        <v>2</v>
      </c>
    </row>
    <row r="69" spans="2:24" x14ac:dyDescent="0.25">
      <c r="B69" s="85"/>
      <c r="C69" s="229" t="s">
        <v>467</v>
      </c>
      <c r="D69" s="224"/>
      <c r="E69" s="84">
        <v>8</v>
      </c>
      <c r="F69" s="84">
        <v>6</v>
      </c>
      <c r="G69" s="84">
        <v>2</v>
      </c>
      <c r="H69" s="224"/>
      <c r="I69" s="229">
        <v>4</v>
      </c>
      <c r="J69" s="84">
        <v>2</v>
      </c>
      <c r="K69" s="84">
        <v>1</v>
      </c>
      <c r="L69" s="224">
        <v>1</v>
      </c>
    </row>
    <row r="70" spans="2:24" x14ac:dyDescent="0.25">
      <c r="B70" s="85"/>
      <c r="C70" s="229" t="s">
        <v>471</v>
      </c>
      <c r="D70" s="224"/>
      <c r="E70" s="84"/>
      <c r="F70" s="84"/>
      <c r="G70" s="84"/>
      <c r="H70" s="224"/>
      <c r="I70" s="229">
        <v>6</v>
      </c>
      <c r="J70" s="84">
        <v>4</v>
      </c>
      <c r="K70" s="84">
        <v>3</v>
      </c>
      <c r="L70" s="224">
        <v>1</v>
      </c>
    </row>
    <row r="71" spans="2:24" x14ac:dyDescent="0.25">
      <c r="B71" s="85"/>
      <c r="C71" s="221" t="s">
        <v>59</v>
      </c>
      <c r="D71" s="222" t="s">
        <v>40</v>
      </c>
      <c r="E71" s="221">
        <f>SUM(E61:E69)</f>
        <v>115</v>
      </c>
      <c r="F71" s="222">
        <f>SUM(F61:F69)</f>
        <v>53</v>
      </c>
      <c r="G71" s="222">
        <f>SUM(G61:G69)</f>
        <v>25</v>
      </c>
      <c r="H71" s="220">
        <f>SUM(H61:H69)</f>
        <v>6</v>
      </c>
      <c r="I71" s="221">
        <f>SUM(I61:I70)</f>
        <v>55</v>
      </c>
      <c r="J71" s="222">
        <f>SUM(J61:J70)</f>
        <v>24</v>
      </c>
      <c r="K71" s="222">
        <f>SUM(K61:K70)</f>
        <v>18</v>
      </c>
      <c r="L71" s="220">
        <f>SUM(L61:L70)</f>
        <v>8</v>
      </c>
      <c r="Q71" s="130"/>
      <c r="R71" s="130"/>
      <c r="S71" s="130"/>
      <c r="T71" s="130"/>
      <c r="U71" s="130"/>
      <c r="V71" s="130"/>
      <c r="W71" s="130"/>
      <c r="X71" s="116"/>
    </row>
    <row r="72" spans="2:24" x14ac:dyDescent="0.25">
      <c r="B72" s="85"/>
      <c r="C72" s="231"/>
      <c r="D72" s="11"/>
      <c r="E72" s="11"/>
      <c r="F72" s="11"/>
      <c r="G72" s="11"/>
      <c r="H72" s="11"/>
      <c r="I72" s="11"/>
      <c r="J72" s="11"/>
      <c r="K72" s="11"/>
      <c r="L72" s="11"/>
      <c r="Q72" s="132"/>
      <c r="R72" s="133"/>
      <c r="S72" s="133"/>
      <c r="T72" s="134"/>
      <c r="U72" s="133"/>
      <c r="V72" s="116"/>
      <c r="W72" s="133"/>
      <c r="X72" s="116"/>
    </row>
    <row r="73" spans="2:24" x14ac:dyDescent="0.25">
      <c r="B73" s="85" t="s">
        <v>473</v>
      </c>
      <c r="C73" s="216" t="s">
        <v>342</v>
      </c>
      <c r="D73" s="5"/>
      <c r="E73" s="5"/>
      <c r="F73" s="43"/>
      <c r="G73" s="5"/>
      <c r="H73" s="11"/>
      <c r="I73" s="11"/>
      <c r="J73" s="11"/>
      <c r="K73" s="11"/>
      <c r="L73" s="11"/>
      <c r="Q73" s="132"/>
      <c r="R73" s="133"/>
      <c r="S73" s="133"/>
      <c r="T73" s="134"/>
      <c r="U73" s="133"/>
      <c r="V73" s="116"/>
      <c r="W73" s="133"/>
      <c r="X73" s="116"/>
    </row>
    <row r="74" spans="2:24" x14ac:dyDescent="0.25">
      <c r="B74" s="85"/>
      <c r="C74" s="216" t="s">
        <v>344</v>
      </c>
      <c r="D74" s="5"/>
      <c r="E74" s="5" t="s">
        <v>343</v>
      </c>
      <c r="F74" s="43"/>
      <c r="G74" s="5"/>
      <c r="H74" s="11"/>
      <c r="I74" s="11"/>
      <c r="J74" s="11"/>
      <c r="K74" s="11"/>
      <c r="L74" s="11"/>
      <c r="Q74" s="132"/>
      <c r="R74" s="133"/>
      <c r="S74" s="133"/>
      <c r="T74" s="134"/>
      <c r="U74" s="133"/>
      <c r="V74" s="116"/>
      <c r="W74" s="133"/>
      <c r="X74" s="116"/>
    </row>
    <row r="75" spans="2:24" x14ac:dyDescent="0.25">
      <c r="B75" s="85"/>
      <c r="C75" s="216"/>
      <c r="D75" s="5"/>
      <c r="E75" s="5"/>
      <c r="F75" s="43"/>
      <c r="G75" s="5"/>
      <c r="H75" s="11"/>
      <c r="I75" s="11"/>
      <c r="J75" s="11"/>
      <c r="K75" s="11"/>
      <c r="L75" s="11"/>
      <c r="Q75" s="132"/>
      <c r="R75" s="133"/>
      <c r="S75" s="133"/>
      <c r="T75" s="134"/>
      <c r="U75" s="133"/>
      <c r="V75" s="116"/>
      <c r="W75" s="133"/>
      <c r="X75" s="116"/>
    </row>
    <row r="76" spans="2:24" x14ac:dyDescent="0.25">
      <c r="B76" s="85" t="s">
        <v>475</v>
      </c>
      <c r="C76" s="231" t="s">
        <v>474</v>
      </c>
      <c r="D76" s="231"/>
      <c r="E76" s="11"/>
      <c r="F76" s="11"/>
      <c r="G76" s="11"/>
      <c r="H76" s="11"/>
      <c r="I76" s="11"/>
      <c r="J76" s="11"/>
      <c r="K76" s="11"/>
      <c r="L76" s="11"/>
      <c r="Q76" s="132"/>
      <c r="R76" s="133"/>
      <c r="S76" s="133"/>
      <c r="T76" s="133"/>
      <c r="U76" s="133"/>
      <c r="V76" s="133"/>
      <c r="W76" s="133"/>
      <c r="X76" s="116"/>
    </row>
    <row r="77" spans="2:24" x14ac:dyDescent="0.25">
      <c r="B77" s="85"/>
      <c r="C77" s="231" t="s">
        <v>468</v>
      </c>
      <c r="D77" s="5" t="s">
        <v>23</v>
      </c>
      <c r="E77" s="11">
        <v>180</v>
      </c>
      <c r="F77" s="11">
        <v>176</v>
      </c>
      <c r="G77" s="11">
        <f>SUM(E77:F77)</f>
        <v>356</v>
      </c>
      <c r="H77" s="11"/>
      <c r="I77" s="11"/>
      <c r="J77" s="11"/>
      <c r="K77" s="11"/>
      <c r="L77" s="11"/>
      <c r="Q77" s="132"/>
      <c r="R77" s="133"/>
      <c r="S77" s="133"/>
      <c r="T77" s="133"/>
      <c r="U77" s="133"/>
      <c r="V77" s="133"/>
      <c r="W77" s="133"/>
      <c r="X77" s="116"/>
    </row>
    <row r="78" spans="2:24" x14ac:dyDescent="0.25">
      <c r="B78" s="85"/>
      <c r="C78" s="232" t="s">
        <v>464</v>
      </c>
      <c r="D78" s="120" t="s">
        <v>23</v>
      </c>
      <c r="E78" s="119">
        <v>250</v>
      </c>
      <c r="F78" s="233">
        <v>105</v>
      </c>
      <c r="G78" s="120">
        <f>SUM(E78:F78)</f>
        <v>355</v>
      </c>
      <c r="H78" s="120"/>
      <c r="I78" s="11"/>
      <c r="J78" s="11"/>
      <c r="K78" s="11"/>
      <c r="L78" s="11"/>
      <c r="Q78" s="132"/>
      <c r="R78" s="133"/>
      <c r="S78" s="133"/>
      <c r="T78" s="134"/>
      <c r="U78" s="133"/>
      <c r="V78" s="135"/>
      <c r="W78" s="133"/>
      <c r="X78" s="116"/>
    </row>
    <row r="79" spans="2:24" x14ac:dyDescent="0.25">
      <c r="B79" s="85"/>
      <c r="C79" s="231" t="s">
        <v>59</v>
      </c>
      <c r="D79" s="11"/>
      <c r="E79" s="234"/>
      <c r="F79" s="117"/>
      <c r="G79" s="11">
        <f>SUM(E77:F78)</f>
        <v>711</v>
      </c>
      <c r="H79" s="11" t="s">
        <v>23</v>
      </c>
      <c r="I79" s="11"/>
      <c r="J79" s="11"/>
      <c r="K79" s="11"/>
      <c r="L79" s="11"/>
      <c r="Q79" s="132"/>
      <c r="R79" s="133"/>
      <c r="S79" s="133"/>
      <c r="T79" s="136"/>
      <c r="U79" s="133"/>
      <c r="V79" s="135"/>
      <c r="W79" s="133"/>
      <c r="X79" s="116"/>
    </row>
    <row r="80" spans="2:24" ht="30" x14ac:dyDescent="0.25">
      <c r="B80" s="85" t="s">
        <v>72</v>
      </c>
      <c r="C80" s="84" t="s">
        <v>347</v>
      </c>
      <c r="D80" s="14"/>
      <c r="E80" s="14"/>
      <c r="F80" s="14"/>
      <c r="G80" s="14"/>
      <c r="H80" s="14"/>
      <c r="I80" s="14"/>
      <c r="J80" s="14" t="s">
        <v>348</v>
      </c>
      <c r="K80" s="11" t="s">
        <v>349</v>
      </c>
      <c r="L80" s="49" t="s">
        <v>354</v>
      </c>
      <c r="N80" s="116"/>
      <c r="O80" s="116"/>
      <c r="Q80" s="132"/>
      <c r="R80" s="133"/>
      <c r="S80" s="133"/>
      <c r="T80" s="136"/>
      <c r="U80" s="133"/>
      <c r="V80" s="135"/>
      <c r="W80" s="133"/>
      <c r="X80" s="116"/>
    </row>
    <row r="81" spans="1:24" x14ac:dyDescent="0.25">
      <c r="B81" s="85"/>
      <c r="C81" s="14"/>
      <c r="D81" s="14"/>
      <c r="E81" s="14"/>
      <c r="F81" s="14"/>
      <c r="G81" s="14"/>
      <c r="H81" s="14"/>
      <c r="I81" s="14"/>
      <c r="J81" s="14" t="s">
        <v>40</v>
      </c>
      <c r="K81" s="11"/>
      <c r="L81" s="11"/>
      <c r="N81" s="116"/>
      <c r="O81" s="116"/>
      <c r="Q81" s="132"/>
      <c r="R81" s="133"/>
      <c r="S81" s="133"/>
      <c r="T81" s="136"/>
      <c r="U81" s="133"/>
      <c r="V81" s="135"/>
      <c r="W81" s="133"/>
      <c r="X81" s="116"/>
    </row>
    <row r="82" spans="1:24" x14ac:dyDescent="0.25">
      <c r="B82" s="85"/>
      <c r="C82" s="14" t="s">
        <v>564</v>
      </c>
      <c r="D82" s="14"/>
      <c r="E82" s="14"/>
      <c r="F82" s="14"/>
      <c r="G82" s="14"/>
      <c r="H82" s="14"/>
      <c r="I82" s="14"/>
      <c r="J82" s="11">
        <v>4</v>
      </c>
      <c r="K82" s="11">
        <v>2</v>
      </c>
      <c r="L82" s="11"/>
      <c r="N82" s="116"/>
      <c r="O82" s="116"/>
      <c r="Q82" s="132"/>
      <c r="R82" s="133"/>
      <c r="S82" s="133"/>
      <c r="T82" s="136"/>
      <c r="U82" s="133"/>
      <c r="V82" s="135"/>
      <c r="W82" s="133"/>
      <c r="X82" s="116"/>
    </row>
    <row r="83" spans="1:24" x14ac:dyDescent="0.25">
      <c r="B83" s="85"/>
      <c r="C83" s="14" t="s">
        <v>350</v>
      </c>
      <c r="D83" s="14"/>
      <c r="E83" s="14"/>
      <c r="F83" s="14"/>
      <c r="G83" s="14"/>
      <c r="H83" s="14"/>
      <c r="I83" s="14"/>
      <c r="J83" s="11">
        <v>3</v>
      </c>
      <c r="K83" s="11"/>
      <c r="L83" s="11"/>
      <c r="N83" s="116"/>
      <c r="O83" s="116"/>
      <c r="Q83" s="132"/>
      <c r="R83" s="133"/>
      <c r="S83" s="133"/>
      <c r="T83" s="136"/>
      <c r="U83" s="133"/>
      <c r="V83" s="135"/>
      <c r="W83" s="133"/>
      <c r="X83" s="116"/>
    </row>
    <row r="84" spans="1:24" x14ac:dyDescent="0.25">
      <c r="B84" s="85"/>
      <c r="C84" s="14" t="s">
        <v>351</v>
      </c>
      <c r="D84" s="14"/>
      <c r="E84" s="14"/>
      <c r="F84" s="14"/>
      <c r="G84" s="14"/>
      <c r="H84" s="14"/>
      <c r="I84" s="14"/>
      <c r="J84" s="11">
        <v>3</v>
      </c>
      <c r="K84" s="11">
        <v>2</v>
      </c>
      <c r="L84" s="11"/>
      <c r="N84" s="116"/>
      <c r="O84" s="116"/>
      <c r="Q84" s="132"/>
      <c r="R84" s="133"/>
      <c r="S84" s="133"/>
      <c r="T84" s="136"/>
      <c r="U84" s="133"/>
      <c r="V84" s="135"/>
      <c r="W84" s="133"/>
      <c r="X84" s="116"/>
    </row>
    <row r="85" spans="1:24" x14ac:dyDescent="0.25">
      <c r="B85" s="85"/>
      <c r="C85" s="14" t="s">
        <v>352</v>
      </c>
      <c r="D85" s="14"/>
      <c r="E85" s="14"/>
      <c r="F85" s="14"/>
      <c r="G85" s="14"/>
      <c r="H85" s="14"/>
      <c r="I85" s="14"/>
      <c r="J85" s="84">
        <v>5</v>
      </c>
      <c r="K85" s="11"/>
      <c r="L85" s="11"/>
      <c r="N85" s="116"/>
      <c r="O85" s="116"/>
      <c r="Q85" s="132"/>
      <c r="R85" s="133"/>
      <c r="S85" s="133"/>
      <c r="T85" s="136"/>
      <c r="U85" s="133"/>
      <c r="V85" s="135"/>
      <c r="W85" s="133"/>
      <c r="X85" s="116"/>
    </row>
    <row r="86" spans="1:24" x14ac:dyDescent="0.25">
      <c r="B86" s="85"/>
      <c r="C86" s="14" t="s">
        <v>353</v>
      </c>
      <c r="D86" s="14"/>
      <c r="E86" s="14"/>
      <c r="F86" s="14"/>
      <c r="G86" s="14"/>
      <c r="H86" s="14"/>
      <c r="I86" s="14"/>
      <c r="J86" s="11"/>
      <c r="K86" s="11"/>
      <c r="L86" s="11">
        <v>4</v>
      </c>
      <c r="N86" s="116"/>
      <c r="O86" s="116"/>
      <c r="Q86" s="132"/>
      <c r="R86" s="133"/>
      <c r="S86" s="133"/>
      <c r="T86" s="136"/>
      <c r="U86" s="133"/>
      <c r="V86" s="135"/>
      <c r="W86" s="133"/>
      <c r="X86" s="116"/>
    </row>
    <row r="87" spans="1:24" x14ac:dyDescent="0.25">
      <c r="B87" s="85"/>
      <c r="C87" s="235" t="s">
        <v>355</v>
      </c>
      <c r="D87" s="14"/>
      <c r="E87" s="14"/>
      <c r="F87" s="14"/>
      <c r="G87" s="14"/>
      <c r="H87" s="14"/>
      <c r="I87" s="14"/>
      <c r="J87" s="84">
        <v>1</v>
      </c>
      <c r="K87" s="11"/>
      <c r="L87" s="11">
        <v>2</v>
      </c>
      <c r="N87" s="116"/>
      <c r="O87" s="116"/>
      <c r="Q87" s="132"/>
      <c r="R87" s="133"/>
      <c r="S87" s="133"/>
      <c r="T87" s="136"/>
      <c r="U87" s="133"/>
      <c r="V87" s="135"/>
      <c r="W87" s="133"/>
      <c r="X87" s="116"/>
    </row>
    <row r="88" spans="1:24" x14ac:dyDescent="0.25">
      <c r="B88" s="85"/>
      <c r="C88" s="236" t="s">
        <v>356</v>
      </c>
      <c r="D88" s="120"/>
      <c r="E88" s="120"/>
      <c r="F88" s="120"/>
      <c r="G88" s="120"/>
      <c r="H88" s="120"/>
      <c r="I88" s="120"/>
      <c r="J88" s="88">
        <v>4</v>
      </c>
      <c r="K88" s="120">
        <v>1</v>
      </c>
      <c r="L88" s="120"/>
      <c r="N88" s="116"/>
      <c r="O88" s="116"/>
      <c r="Q88" s="132"/>
      <c r="R88" s="133"/>
      <c r="S88" s="133"/>
      <c r="T88" s="136"/>
      <c r="U88" s="133"/>
      <c r="V88" s="135"/>
      <c r="W88" s="133"/>
      <c r="X88" s="116"/>
    </row>
    <row r="89" spans="1:24" x14ac:dyDescent="0.25">
      <c r="B89" s="85"/>
      <c r="C89" s="237" t="s">
        <v>59</v>
      </c>
      <c r="D89" s="11"/>
      <c r="E89" s="11"/>
      <c r="F89" s="11"/>
      <c r="G89" s="11"/>
      <c r="H89" s="11"/>
      <c r="I89" s="11"/>
      <c r="J89" s="11">
        <f>SUM(J82:J88)</f>
        <v>20</v>
      </c>
      <c r="K89" s="11">
        <f>SUM(K82:K87)</f>
        <v>4</v>
      </c>
      <c r="L89" s="11">
        <f>SUM(L82:L87)</f>
        <v>6</v>
      </c>
      <c r="N89" s="116"/>
      <c r="O89" s="116"/>
      <c r="Q89" s="132"/>
      <c r="R89" s="133"/>
      <c r="S89" s="133"/>
      <c r="T89" s="136"/>
      <c r="U89" s="133"/>
      <c r="V89" s="135"/>
      <c r="W89" s="133"/>
      <c r="X89" s="116"/>
    </row>
    <row r="90" spans="1:24" ht="15" customHeight="1" x14ac:dyDescent="0.25">
      <c r="B90" s="85" t="s">
        <v>204</v>
      </c>
      <c r="C90" s="216" t="s">
        <v>51</v>
      </c>
      <c r="D90" s="216"/>
      <c r="E90" s="216"/>
      <c r="F90" s="216"/>
      <c r="G90" s="5"/>
      <c r="H90" s="5"/>
      <c r="I90" s="5"/>
      <c r="J90" s="5"/>
      <c r="K90" s="5"/>
      <c r="L90" s="5"/>
      <c r="Q90" s="130"/>
      <c r="R90" s="130"/>
      <c r="S90" s="130"/>
      <c r="T90" s="130"/>
      <c r="U90" s="130"/>
      <c r="V90" s="130"/>
      <c r="W90" s="130"/>
      <c r="X90" s="116"/>
    </row>
    <row r="91" spans="1:24" ht="15" customHeight="1" x14ac:dyDescent="0.25">
      <c r="B91" s="85" t="s">
        <v>208</v>
      </c>
      <c r="C91" s="216" t="s">
        <v>52</v>
      </c>
      <c r="D91" s="216"/>
      <c r="E91" s="216"/>
      <c r="F91" s="216"/>
      <c r="G91" s="5"/>
      <c r="H91" s="5"/>
      <c r="I91" s="5"/>
      <c r="J91" s="5"/>
      <c r="K91" s="5"/>
      <c r="L91" s="5"/>
    </row>
    <row r="92" spans="1:24" ht="15" customHeight="1" x14ac:dyDescent="0.25">
      <c r="B92" s="85" t="s">
        <v>209</v>
      </c>
      <c r="C92" s="216" t="s">
        <v>53</v>
      </c>
      <c r="D92" s="216"/>
      <c r="E92" s="216"/>
      <c r="F92" s="216"/>
      <c r="G92" s="5"/>
      <c r="H92" s="5"/>
      <c r="I92" s="5"/>
      <c r="J92" s="5"/>
      <c r="K92" s="5"/>
      <c r="L92" s="5"/>
    </row>
    <row r="93" spans="1:24" x14ac:dyDescent="0.25">
      <c r="B93" s="137"/>
      <c r="C93" s="138"/>
      <c r="D93" s="138"/>
      <c r="E93" s="138"/>
      <c r="F93" s="116"/>
    </row>
    <row r="94" spans="1:24" ht="15.75" thickBot="1" x14ac:dyDescent="0.3">
      <c r="A94" s="246"/>
      <c r="B94" s="247" t="s">
        <v>114</v>
      </c>
      <c r="C94" s="216"/>
      <c r="D94" s="5"/>
      <c r="E94" s="5"/>
    </row>
    <row r="95" spans="1:24" ht="15.75" customHeight="1" thickBot="1" x14ac:dyDescent="0.3">
      <c r="B95" s="684" t="s">
        <v>12</v>
      </c>
      <c r="C95" s="685"/>
      <c r="D95" s="688" t="s">
        <v>11</v>
      </c>
      <c r="E95" s="690" t="s">
        <v>73</v>
      </c>
      <c r="F95" s="690"/>
      <c r="G95" s="690"/>
      <c r="H95" s="690" t="s">
        <v>74</v>
      </c>
      <c r="I95" s="690"/>
      <c r="J95" s="690"/>
      <c r="K95" s="690" t="s">
        <v>75</v>
      </c>
      <c r="L95" s="690"/>
      <c r="M95" s="690"/>
      <c r="N95" s="139"/>
      <c r="O95" s="140"/>
      <c r="P95" s="141"/>
      <c r="Q95" s="142"/>
      <c r="R95" s="141"/>
      <c r="S95" s="142"/>
      <c r="T95" s="141"/>
    </row>
    <row r="96" spans="1:24" ht="29.25" customHeight="1" thickBot="1" x14ac:dyDescent="0.3">
      <c r="B96" s="686"/>
      <c r="C96" s="687"/>
      <c r="D96" s="688"/>
      <c r="E96" s="738" t="s">
        <v>51</v>
      </c>
      <c r="F96" s="725"/>
      <c r="G96" s="726"/>
      <c r="H96" s="698" t="s">
        <v>52</v>
      </c>
      <c r="I96" s="699"/>
      <c r="J96" s="700"/>
      <c r="K96" s="738" t="s">
        <v>53</v>
      </c>
      <c r="L96" s="725"/>
      <c r="M96" s="726"/>
      <c r="N96" s="139"/>
      <c r="O96" s="140"/>
      <c r="P96" s="141"/>
      <c r="Q96" s="142"/>
      <c r="R96" s="141"/>
      <c r="S96" s="142"/>
      <c r="T96" s="141"/>
    </row>
    <row r="97" spans="2:20" ht="23.25" customHeight="1" thickBot="1" x14ac:dyDescent="0.3">
      <c r="B97" s="238" t="s">
        <v>9</v>
      </c>
      <c r="C97" s="239" t="s">
        <v>10</v>
      </c>
      <c r="D97" s="689"/>
      <c r="E97" s="240" t="s">
        <v>13</v>
      </c>
      <c r="F97" s="241" t="s">
        <v>14</v>
      </c>
      <c r="G97" s="240" t="s">
        <v>15</v>
      </c>
      <c r="H97" s="240" t="s">
        <v>13</v>
      </c>
      <c r="I97" s="241" t="s">
        <v>14</v>
      </c>
      <c r="J97" s="240" t="s">
        <v>15</v>
      </c>
      <c r="K97" s="240" t="s">
        <v>13</v>
      </c>
      <c r="L97" s="241" t="s">
        <v>14</v>
      </c>
      <c r="M97" s="671" t="s">
        <v>15</v>
      </c>
      <c r="N97" s="139"/>
      <c r="O97" s="140"/>
      <c r="P97" s="141"/>
      <c r="Q97" s="142"/>
      <c r="R97" s="141"/>
      <c r="S97" s="142"/>
      <c r="T97" s="141"/>
    </row>
    <row r="98" spans="2:20" ht="14.25" customHeight="1" thickBot="1" x14ac:dyDescent="0.3">
      <c r="B98" s="242"/>
      <c r="C98" s="243" t="s">
        <v>8</v>
      </c>
      <c r="D98" s="238" t="s">
        <v>7</v>
      </c>
      <c r="E98" s="244" t="s">
        <v>565</v>
      </c>
      <c r="F98" s="245" t="s">
        <v>565</v>
      </c>
      <c r="G98" s="244" t="s">
        <v>566</v>
      </c>
      <c r="H98" s="244" t="s">
        <v>565</v>
      </c>
      <c r="I98" s="245" t="s">
        <v>565</v>
      </c>
      <c r="J98" s="244" t="s">
        <v>566</v>
      </c>
      <c r="K98" s="244" t="s">
        <v>565</v>
      </c>
      <c r="L98" s="245" t="s">
        <v>565</v>
      </c>
      <c r="M98" s="672" t="s">
        <v>566</v>
      </c>
      <c r="N98" s="139"/>
      <c r="O98" s="140"/>
      <c r="P98" s="141"/>
      <c r="Q98" s="142"/>
      <c r="R98" s="141"/>
      <c r="S98" s="142"/>
      <c r="T98" s="141"/>
    </row>
    <row r="99" spans="2:20" ht="14.25" customHeight="1" thickBot="1" x14ac:dyDescent="0.3">
      <c r="B99" s="248" t="s">
        <v>34</v>
      </c>
      <c r="C99" s="249"/>
      <c r="D99" s="250"/>
      <c r="E99" s="251"/>
      <c r="F99" s="144"/>
      <c r="G99" s="143"/>
      <c r="H99" s="143"/>
      <c r="I99" s="144"/>
      <c r="J99" s="143"/>
      <c r="K99" s="143"/>
      <c r="L99" s="144"/>
      <c r="M99" s="673"/>
      <c r="N99" s="139"/>
      <c r="O99" s="140"/>
      <c r="P99" s="141"/>
      <c r="Q99" s="142"/>
      <c r="R99" s="141"/>
      <c r="S99" s="142"/>
      <c r="T99" s="141"/>
    </row>
    <row r="100" spans="2:20" ht="14.25" customHeight="1" x14ac:dyDescent="0.25">
      <c r="B100" s="718" t="s">
        <v>35</v>
      </c>
      <c r="C100" s="719">
        <v>0</v>
      </c>
      <c r="D100" s="708">
        <f>(C102-C100)*1000</f>
        <v>7.29</v>
      </c>
      <c r="E100" s="708">
        <f>E102</f>
        <v>3.4</v>
      </c>
      <c r="F100" s="708">
        <f>(E100+E102)/2</f>
        <v>3.4</v>
      </c>
      <c r="G100" s="708">
        <f>F100*D100</f>
        <v>24.785999999999998</v>
      </c>
      <c r="H100" s="734">
        <f>H102</f>
        <v>2.7</v>
      </c>
      <c r="I100" s="708">
        <f>(H100+H102)/2</f>
        <v>2.7</v>
      </c>
      <c r="J100" s="708">
        <f>I100*D100</f>
        <v>19.683</v>
      </c>
      <c r="K100" s="708">
        <v>2.8</v>
      </c>
      <c r="L100" s="706">
        <f>(K100+K102)/2</f>
        <v>3</v>
      </c>
      <c r="M100" s="740">
        <f>L100*D100</f>
        <v>21.87</v>
      </c>
    </row>
    <row r="101" spans="2:20" ht="12.75" customHeight="1" x14ac:dyDescent="0.25">
      <c r="B101" s="691"/>
      <c r="C101" s="720"/>
      <c r="D101" s="683"/>
      <c r="E101" s="683"/>
      <c r="F101" s="683"/>
      <c r="G101" s="683"/>
      <c r="H101" s="732"/>
      <c r="I101" s="683"/>
      <c r="J101" s="683"/>
      <c r="K101" s="683"/>
      <c r="L101" s="707"/>
      <c r="M101" s="741"/>
    </row>
    <row r="102" spans="2:20" ht="12.75" customHeight="1" x14ac:dyDescent="0.25">
      <c r="B102" s="691" t="s">
        <v>36</v>
      </c>
      <c r="C102" s="720">
        <v>7.2899999999999996E-3</v>
      </c>
      <c r="D102" s="683"/>
      <c r="E102" s="683">
        <v>3.4</v>
      </c>
      <c r="F102" s="683"/>
      <c r="G102" s="683"/>
      <c r="H102" s="697">
        <v>2.7</v>
      </c>
      <c r="I102" s="683"/>
      <c r="J102" s="683"/>
      <c r="K102" s="683">
        <v>3.2</v>
      </c>
      <c r="L102" s="704"/>
      <c r="M102" s="742"/>
    </row>
    <row r="103" spans="2:20" ht="12.75" customHeight="1" x14ac:dyDescent="0.25">
      <c r="B103" s="691"/>
      <c r="C103" s="720"/>
      <c r="D103" s="683">
        <f>(C104-C102)*1000</f>
        <v>11.88</v>
      </c>
      <c r="E103" s="683"/>
      <c r="F103" s="683">
        <f>(E102+E104)/2</f>
        <v>3.5</v>
      </c>
      <c r="G103" s="683">
        <f>F103*D103</f>
        <v>41.580000000000005</v>
      </c>
      <c r="H103" s="704"/>
      <c r="I103" s="683">
        <f>(H102+H104)/2</f>
        <v>2.8250000000000002</v>
      </c>
      <c r="J103" s="683">
        <f>I103*D103</f>
        <v>33.561000000000007</v>
      </c>
      <c r="K103" s="683"/>
      <c r="L103" s="683">
        <f>(K102+K104)/2</f>
        <v>2.8</v>
      </c>
      <c r="M103" s="743">
        <f>L103*D103</f>
        <v>33.264000000000003</v>
      </c>
    </row>
    <row r="104" spans="2:20" ht="12.75" customHeight="1" x14ac:dyDescent="0.25">
      <c r="B104" s="691" t="s">
        <v>37</v>
      </c>
      <c r="C104" s="720">
        <v>1.917E-2</v>
      </c>
      <c r="D104" s="683"/>
      <c r="E104" s="683">
        <v>3.6</v>
      </c>
      <c r="F104" s="683"/>
      <c r="G104" s="683"/>
      <c r="H104" s="697">
        <v>2.95</v>
      </c>
      <c r="I104" s="683"/>
      <c r="J104" s="683"/>
      <c r="K104" s="683">
        <v>2.4</v>
      </c>
      <c r="L104" s="683"/>
      <c r="M104" s="743"/>
    </row>
    <row r="105" spans="2:20" ht="12.75" customHeight="1" x14ac:dyDescent="0.25">
      <c r="B105" s="691"/>
      <c r="C105" s="720"/>
      <c r="D105" s="683">
        <f>(C106-C104)*1000</f>
        <v>11</v>
      </c>
      <c r="E105" s="683"/>
      <c r="F105" s="683">
        <v>3.6</v>
      </c>
      <c r="G105" s="683">
        <f>F105*D105</f>
        <v>39.6</v>
      </c>
      <c r="H105" s="704"/>
      <c r="I105" s="683">
        <f>(H104+H106)/2</f>
        <v>3.1749999999999998</v>
      </c>
      <c r="J105" s="683">
        <f>I105*D105</f>
        <v>34.924999999999997</v>
      </c>
      <c r="K105" s="683"/>
      <c r="L105" s="683">
        <f t="shared" ref="L105" si="0">(K104+K106)/2</f>
        <v>2.3499999999999996</v>
      </c>
      <c r="M105" s="743">
        <f>L105*D105</f>
        <v>25.849999999999994</v>
      </c>
    </row>
    <row r="106" spans="2:20" ht="12.75" customHeight="1" x14ac:dyDescent="0.25">
      <c r="B106" s="691" t="s">
        <v>38</v>
      </c>
      <c r="C106" s="720">
        <v>3.0169999999999999E-2</v>
      </c>
      <c r="D106" s="683"/>
      <c r="E106" s="683">
        <v>3.5</v>
      </c>
      <c r="F106" s="683"/>
      <c r="G106" s="683"/>
      <c r="H106" s="732">
        <v>3.4</v>
      </c>
      <c r="I106" s="683"/>
      <c r="J106" s="683"/>
      <c r="K106" s="683">
        <v>2.2999999999999998</v>
      </c>
      <c r="L106" s="683"/>
      <c r="M106" s="743"/>
    </row>
    <row r="107" spans="2:20" ht="12.75" customHeight="1" x14ac:dyDescent="0.25">
      <c r="B107" s="691"/>
      <c r="C107" s="720"/>
      <c r="D107" s="683">
        <f>(C108-C106)*1000</f>
        <v>15.930000000000003</v>
      </c>
      <c r="E107" s="683"/>
      <c r="F107" s="683">
        <f>(E106+E108)/2</f>
        <v>4.75</v>
      </c>
      <c r="G107" s="683">
        <f>F107*D107</f>
        <v>75.667500000000018</v>
      </c>
      <c r="H107" s="732"/>
      <c r="I107" s="683">
        <f>(H106+H108)/2</f>
        <v>3.0999999999999996</v>
      </c>
      <c r="J107" s="683">
        <f>I107*D107</f>
        <v>49.383000000000003</v>
      </c>
      <c r="K107" s="683"/>
      <c r="L107" s="683">
        <f t="shared" ref="L107" si="1">(K106+K108)/2</f>
        <v>3.4</v>
      </c>
      <c r="M107" s="743">
        <f>L107*D107</f>
        <v>54.162000000000013</v>
      </c>
    </row>
    <row r="108" spans="2:20" ht="12.75" customHeight="1" x14ac:dyDescent="0.25">
      <c r="B108" s="691" t="s">
        <v>39</v>
      </c>
      <c r="C108" s="692">
        <v>4.6100000000000002E-2</v>
      </c>
      <c r="D108" s="683"/>
      <c r="E108" s="683">
        <v>6</v>
      </c>
      <c r="F108" s="683"/>
      <c r="G108" s="683"/>
      <c r="H108" s="732">
        <v>2.8</v>
      </c>
      <c r="I108" s="683"/>
      <c r="J108" s="683"/>
      <c r="K108" s="683">
        <v>4.5</v>
      </c>
      <c r="L108" s="683"/>
      <c r="M108" s="743"/>
    </row>
    <row r="109" spans="2:20" ht="12.75" customHeight="1" x14ac:dyDescent="0.25">
      <c r="B109" s="691"/>
      <c r="C109" s="692"/>
      <c r="D109" s="683">
        <f>(C110-C108)*1000</f>
        <v>2.9</v>
      </c>
      <c r="E109" s="683"/>
      <c r="F109" s="683">
        <f>(E108+E110)/2</f>
        <v>6.5</v>
      </c>
      <c r="G109" s="683">
        <f>F109*D109</f>
        <v>18.849999999999998</v>
      </c>
      <c r="H109" s="732"/>
      <c r="I109" s="683">
        <f>(H108+H110)/2</f>
        <v>1.9</v>
      </c>
      <c r="J109" s="683">
        <f>I109*D109</f>
        <v>5.51</v>
      </c>
      <c r="K109" s="683"/>
      <c r="L109" s="683">
        <f t="shared" ref="L109" si="2">(K108+K110)/2</f>
        <v>4.5</v>
      </c>
      <c r="M109" s="743">
        <f t="shared" ref="M109" si="3">L109*D109</f>
        <v>13.049999999999999</v>
      </c>
    </row>
    <row r="110" spans="2:20" ht="12.75" customHeight="1" x14ac:dyDescent="0.25">
      <c r="B110" s="691" t="s">
        <v>41</v>
      </c>
      <c r="C110" s="692">
        <v>4.9000000000000002E-2</v>
      </c>
      <c r="D110" s="683"/>
      <c r="E110" s="683">
        <v>7</v>
      </c>
      <c r="F110" s="683"/>
      <c r="G110" s="683"/>
      <c r="H110" s="732">
        <v>1</v>
      </c>
      <c r="I110" s="683"/>
      <c r="J110" s="683"/>
      <c r="K110" s="683">
        <v>4.5</v>
      </c>
      <c r="L110" s="683"/>
      <c r="M110" s="743"/>
    </row>
    <row r="111" spans="2:20" ht="12.75" customHeight="1" x14ac:dyDescent="0.25">
      <c r="B111" s="691"/>
      <c r="C111" s="692"/>
      <c r="D111" s="683">
        <f>(C112-C110)*1000</f>
        <v>5.9999999999999982</v>
      </c>
      <c r="E111" s="683"/>
      <c r="F111" s="683">
        <f>(E110+E112)/2</f>
        <v>7</v>
      </c>
      <c r="G111" s="683">
        <f>F111*D111</f>
        <v>41.999999999999986</v>
      </c>
      <c r="H111" s="732"/>
      <c r="I111" s="683">
        <f>(H110+H112)/2</f>
        <v>1</v>
      </c>
      <c r="J111" s="683">
        <f>I111*D111</f>
        <v>5.9999999999999982</v>
      </c>
      <c r="K111" s="683"/>
      <c r="L111" s="683">
        <f t="shared" ref="L111" si="4">(K110+K112)/2</f>
        <v>4.25</v>
      </c>
      <c r="M111" s="743">
        <f t="shared" ref="M111" si="5">L111*D111</f>
        <v>25.499999999999993</v>
      </c>
    </row>
    <row r="112" spans="2:20" ht="12.75" customHeight="1" x14ac:dyDescent="0.25">
      <c r="B112" s="691" t="s">
        <v>41</v>
      </c>
      <c r="C112" s="692">
        <v>5.5E-2</v>
      </c>
      <c r="D112" s="683"/>
      <c r="E112" s="683">
        <v>7</v>
      </c>
      <c r="F112" s="683"/>
      <c r="G112" s="683"/>
      <c r="H112" s="732">
        <v>1</v>
      </c>
      <c r="I112" s="683"/>
      <c r="J112" s="683"/>
      <c r="K112" s="683">
        <v>4</v>
      </c>
      <c r="L112" s="683"/>
      <c r="M112" s="743"/>
    </row>
    <row r="113" spans="2:13" ht="12.75" customHeight="1" x14ac:dyDescent="0.25">
      <c r="B113" s="691"/>
      <c r="C113" s="692"/>
      <c r="D113" s="683">
        <f>(C114-C112)*1000</f>
        <v>7.23</v>
      </c>
      <c r="E113" s="683"/>
      <c r="F113" s="683">
        <f>(E112+E114)/2</f>
        <v>7.5</v>
      </c>
      <c r="G113" s="683">
        <f>F113*D113</f>
        <v>54.225000000000001</v>
      </c>
      <c r="H113" s="732"/>
      <c r="I113" s="683">
        <f>(H112+H114)/2</f>
        <v>2</v>
      </c>
      <c r="J113" s="683">
        <f>I113*D113</f>
        <v>14.46</v>
      </c>
      <c r="K113" s="683"/>
      <c r="L113" s="683">
        <f t="shared" ref="L113" si="6">(K112+K114)/2</f>
        <v>4.8499999999999996</v>
      </c>
      <c r="M113" s="743">
        <f t="shared" ref="M113" si="7">L113*D113</f>
        <v>35.0655</v>
      </c>
    </row>
    <row r="114" spans="2:13" ht="12.75" customHeight="1" x14ac:dyDescent="0.25">
      <c r="B114" s="691" t="s">
        <v>42</v>
      </c>
      <c r="C114" s="692">
        <v>6.2230000000000001E-2</v>
      </c>
      <c r="D114" s="683"/>
      <c r="E114" s="683">
        <v>8</v>
      </c>
      <c r="F114" s="683"/>
      <c r="G114" s="683"/>
      <c r="H114" s="697">
        <v>3</v>
      </c>
      <c r="I114" s="683"/>
      <c r="J114" s="683"/>
      <c r="K114" s="683">
        <v>5.7</v>
      </c>
      <c r="L114" s="683"/>
      <c r="M114" s="743"/>
    </row>
    <row r="115" spans="2:13" ht="12.75" customHeight="1" x14ac:dyDescent="0.25">
      <c r="B115" s="691"/>
      <c r="C115" s="692"/>
      <c r="D115" s="683">
        <f>(C116-C114)*1000</f>
        <v>23.839999999999993</v>
      </c>
      <c r="E115" s="683"/>
      <c r="F115" s="683">
        <f>(E114+E116)/2</f>
        <v>8.1</v>
      </c>
      <c r="G115" s="683">
        <f>F115*D115</f>
        <v>193.10399999999993</v>
      </c>
      <c r="H115" s="704"/>
      <c r="I115" s="683">
        <f>(H114+H116)/2</f>
        <v>3</v>
      </c>
      <c r="J115" s="697">
        <f>I115*D115</f>
        <v>71.519999999999982</v>
      </c>
      <c r="K115" s="683"/>
      <c r="L115" s="683">
        <f>(K114+K116)/2</f>
        <v>5.7</v>
      </c>
      <c r="M115" s="743">
        <f>L115*D115</f>
        <v>135.88799999999998</v>
      </c>
    </row>
    <row r="116" spans="2:13" ht="12.75" customHeight="1" x14ac:dyDescent="0.25">
      <c r="B116" s="691" t="s">
        <v>43</v>
      </c>
      <c r="C116" s="692">
        <v>8.6069999999999994E-2</v>
      </c>
      <c r="D116" s="683"/>
      <c r="E116" s="683">
        <v>8.1999999999999993</v>
      </c>
      <c r="F116" s="683"/>
      <c r="G116" s="683"/>
      <c r="H116" s="732">
        <f>H114</f>
        <v>3</v>
      </c>
      <c r="I116" s="683"/>
      <c r="J116" s="704"/>
      <c r="K116" s="683">
        <f>K114</f>
        <v>5.7</v>
      </c>
      <c r="L116" s="683"/>
      <c r="M116" s="743"/>
    </row>
    <row r="117" spans="2:13" ht="12.75" customHeight="1" thickBot="1" x14ac:dyDescent="0.3">
      <c r="B117" s="722"/>
      <c r="C117" s="696"/>
      <c r="D117" s="254"/>
      <c r="E117" s="697"/>
      <c r="F117" s="257"/>
      <c r="G117" s="257"/>
      <c r="H117" s="735"/>
      <c r="I117" s="257"/>
      <c r="J117" s="254"/>
      <c r="K117" s="697"/>
      <c r="L117" s="697"/>
      <c r="M117" s="746"/>
    </row>
    <row r="118" spans="2:13" ht="12.75" customHeight="1" thickBot="1" x14ac:dyDescent="0.3">
      <c r="B118" s="248" t="s">
        <v>44</v>
      </c>
      <c r="C118" s="255"/>
      <c r="D118" s="152"/>
      <c r="E118" s="144"/>
      <c r="F118" s="152"/>
      <c r="G118" s="152"/>
      <c r="H118" s="144"/>
      <c r="I118" s="152"/>
      <c r="J118" s="152"/>
      <c r="K118" s="287"/>
      <c r="L118" s="207"/>
      <c r="M118" s="674"/>
    </row>
    <row r="119" spans="2:13" ht="12.75" customHeight="1" x14ac:dyDescent="0.25">
      <c r="B119" s="718" t="s">
        <v>35</v>
      </c>
      <c r="C119" s="719">
        <v>0.10195</v>
      </c>
      <c r="D119" s="706">
        <f>(C121-C119)*1000</f>
        <v>5.2800000000000065</v>
      </c>
      <c r="E119" s="708">
        <v>0</v>
      </c>
      <c r="F119" s="708">
        <v>1</v>
      </c>
      <c r="G119" s="708">
        <f>F119*D119</f>
        <v>5.2800000000000065</v>
      </c>
      <c r="H119" s="734">
        <v>0.5</v>
      </c>
      <c r="I119" s="708">
        <f>(H119+H121)/2</f>
        <v>0.6</v>
      </c>
      <c r="J119" s="708">
        <f>I119*D119</f>
        <v>3.1680000000000037</v>
      </c>
      <c r="K119" s="708">
        <v>8</v>
      </c>
      <c r="L119" s="706">
        <f>(K119+K121)/2</f>
        <v>7.4</v>
      </c>
      <c r="M119" s="740">
        <f>L119*D119</f>
        <v>39.072000000000052</v>
      </c>
    </row>
    <row r="120" spans="2:13" ht="12.75" customHeight="1" x14ac:dyDescent="0.25">
      <c r="B120" s="691"/>
      <c r="C120" s="720"/>
      <c r="D120" s="707"/>
      <c r="E120" s="683"/>
      <c r="F120" s="683"/>
      <c r="G120" s="683"/>
      <c r="H120" s="732"/>
      <c r="I120" s="683"/>
      <c r="J120" s="683"/>
      <c r="K120" s="683"/>
      <c r="L120" s="707"/>
      <c r="M120" s="741"/>
    </row>
    <row r="121" spans="2:13" ht="12.75" customHeight="1" x14ac:dyDescent="0.25">
      <c r="B121" s="691" t="s">
        <v>45</v>
      </c>
      <c r="C121" s="720">
        <v>0.10723000000000001</v>
      </c>
      <c r="D121" s="704"/>
      <c r="E121" s="683">
        <v>0</v>
      </c>
      <c r="F121" s="683"/>
      <c r="G121" s="683"/>
      <c r="H121" s="732">
        <v>0.7</v>
      </c>
      <c r="I121" s="683"/>
      <c r="J121" s="683"/>
      <c r="K121" s="683">
        <v>6.8</v>
      </c>
      <c r="L121" s="704"/>
      <c r="M121" s="742"/>
    </row>
    <row r="122" spans="2:13" ht="12.75" customHeight="1" x14ac:dyDescent="0.25">
      <c r="B122" s="691"/>
      <c r="C122" s="720"/>
      <c r="D122" s="683">
        <f>(C123-C121)*1000</f>
        <v>9.319999999999995</v>
      </c>
      <c r="E122" s="683"/>
      <c r="F122" s="683">
        <v>3</v>
      </c>
      <c r="G122" s="683">
        <f>F122*D122</f>
        <v>27.959999999999987</v>
      </c>
      <c r="H122" s="732"/>
      <c r="I122" s="683">
        <f>(H121+H123)/2</f>
        <v>0.75</v>
      </c>
      <c r="J122" s="683">
        <f>I122*D122</f>
        <v>6.9899999999999967</v>
      </c>
      <c r="K122" s="683"/>
      <c r="L122" s="683">
        <f t="shared" ref="L122:L132" si="8">(K121+K123)/2</f>
        <v>6.25</v>
      </c>
      <c r="M122" s="743">
        <f>L122*D122</f>
        <v>58.249999999999972</v>
      </c>
    </row>
    <row r="123" spans="2:13" ht="12.75" customHeight="1" x14ac:dyDescent="0.25">
      <c r="B123" s="691" t="s">
        <v>46</v>
      </c>
      <c r="C123" s="720">
        <v>0.11655</v>
      </c>
      <c r="D123" s="683"/>
      <c r="E123" s="683">
        <v>4</v>
      </c>
      <c r="F123" s="683"/>
      <c r="G123" s="683"/>
      <c r="H123" s="697">
        <v>0.8</v>
      </c>
      <c r="I123" s="683"/>
      <c r="J123" s="683"/>
      <c r="K123" s="683">
        <v>5.7</v>
      </c>
      <c r="L123" s="683"/>
      <c r="M123" s="743"/>
    </row>
    <row r="124" spans="2:13" ht="12.75" customHeight="1" x14ac:dyDescent="0.25">
      <c r="B124" s="691"/>
      <c r="C124" s="720"/>
      <c r="D124" s="683">
        <f>(C125-C123)*1000</f>
        <v>11.040000000000008</v>
      </c>
      <c r="E124" s="683"/>
      <c r="F124" s="683">
        <f>(E123+E125)/2</f>
        <v>4</v>
      </c>
      <c r="G124" s="683">
        <f>F124*D124</f>
        <v>44.160000000000032</v>
      </c>
      <c r="H124" s="704"/>
      <c r="I124" s="683">
        <f>(H123+H125)/2</f>
        <v>1.1000000000000001</v>
      </c>
      <c r="J124" s="683">
        <f>I124*D124</f>
        <v>12.144000000000009</v>
      </c>
      <c r="K124" s="683"/>
      <c r="L124" s="683">
        <f t="shared" si="8"/>
        <v>5.25</v>
      </c>
      <c r="M124" s="743">
        <f>L124*D124</f>
        <v>57.960000000000043</v>
      </c>
    </row>
    <row r="125" spans="2:13" ht="12.75" customHeight="1" x14ac:dyDescent="0.25">
      <c r="B125" s="691" t="s">
        <v>47</v>
      </c>
      <c r="C125" s="720">
        <v>0.12759000000000001</v>
      </c>
      <c r="D125" s="683"/>
      <c r="E125" s="683">
        <v>4</v>
      </c>
      <c r="F125" s="683"/>
      <c r="G125" s="683"/>
      <c r="H125" s="732">
        <v>1.4</v>
      </c>
      <c r="I125" s="683"/>
      <c r="J125" s="683"/>
      <c r="K125" s="683">
        <v>4.8</v>
      </c>
      <c r="L125" s="683"/>
      <c r="M125" s="743"/>
    </row>
    <row r="126" spans="2:13" ht="12.75" customHeight="1" x14ac:dyDescent="0.25">
      <c r="B126" s="691"/>
      <c r="C126" s="720"/>
      <c r="D126" s="683">
        <f>(C127-C125)*1000</f>
        <v>13.039999999999996</v>
      </c>
      <c r="E126" s="683"/>
      <c r="F126" s="683">
        <f>(E125+E127)/2</f>
        <v>4.2</v>
      </c>
      <c r="G126" s="683">
        <f>F126*D126</f>
        <v>54.767999999999986</v>
      </c>
      <c r="H126" s="732"/>
      <c r="I126" s="683">
        <f>(H125+H127)/2</f>
        <v>2.2000000000000002</v>
      </c>
      <c r="J126" s="683">
        <f>I126*D126</f>
        <v>28.687999999999992</v>
      </c>
      <c r="K126" s="683"/>
      <c r="L126" s="683">
        <f t="shared" si="8"/>
        <v>4.5</v>
      </c>
      <c r="M126" s="743">
        <f>L126*D126</f>
        <v>58.679999999999978</v>
      </c>
    </row>
    <row r="127" spans="2:13" ht="12.75" customHeight="1" x14ac:dyDescent="0.25">
      <c r="B127" s="691" t="s">
        <v>48</v>
      </c>
      <c r="C127" s="692">
        <v>0.14063000000000001</v>
      </c>
      <c r="D127" s="683"/>
      <c r="E127" s="683">
        <v>4.4000000000000004</v>
      </c>
      <c r="F127" s="683"/>
      <c r="G127" s="683"/>
      <c r="H127" s="732">
        <v>3</v>
      </c>
      <c r="I127" s="683"/>
      <c r="J127" s="683"/>
      <c r="K127" s="683">
        <v>4.2</v>
      </c>
      <c r="L127" s="683"/>
      <c r="M127" s="743"/>
    </row>
    <row r="128" spans="2:13" ht="12.75" customHeight="1" x14ac:dyDescent="0.25">
      <c r="B128" s="691"/>
      <c r="C128" s="692"/>
      <c r="D128" s="683">
        <f>(C129-C127)*1000</f>
        <v>7.0099999999999882</v>
      </c>
      <c r="E128" s="683"/>
      <c r="F128" s="683">
        <f>(E127+E129)/2</f>
        <v>4.0500000000000007</v>
      </c>
      <c r="G128" s="683">
        <f>F128*D128</f>
        <v>28.390499999999957</v>
      </c>
      <c r="H128" s="732"/>
      <c r="I128" s="683">
        <f>(H127+H129)/2</f>
        <v>3.1</v>
      </c>
      <c r="J128" s="683">
        <f>I128*D128</f>
        <v>21.730999999999963</v>
      </c>
      <c r="K128" s="683"/>
      <c r="L128" s="683">
        <f t="shared" si="8"/>
        <v>4.2</v>
      </c>
      <c r="M128" s="743">
        <f>L128*D128</f>
        <v>29.44199999999995</v>
      </c>
    </row>
    <row r="129" spans="1:15" ht="12.75" customHeight="1" x14ac:dyDescent="0.25">
      <c r="B129" s="691" t="s">
        <v>49</v>
      </c>
      <c r="C129" s="692">
        <v>0.14763999999999999</v>
      </c>
      <c r="D129" s="683"/>
      <c r="E129" s="683">
        <v>3.7</v>
      </c>
      <c r="F129" s="683"/>
      <c r="G129" s="683"/>
      <c r="H129" s="732">
        <v>3.2</v>
      </c>
      <c r="I129" s="683"/>
      <c r="J129" s="683"/>
      <c r="K129" s="683">
        <v>4.2</v>
      </c>
      <c r="L129" s="683"/>
      <c r="M129" s="743"/>
      <c r="N129" s="116"/>
      <c r="O129" s="116"/>
    </row>
    <row r="130" spans="1:15" ht="12.75" customHeight="1" x14ac:dyDescent="0.25">
      <c r="B130" s="691"/>
      <c r="C130" s="692"/>
      <c r="D130" s="683">
        <f>(C131-C129)*1000</f>
        <v>10.300000000000004</v>
      </c>
      <c r="E130" s="683"/>
      <c r="F130" s="683">
        <f>(E129+E131)/2</f>
        <v>3.6</v>
      </c>
      <c r="G130" s="683">
        <f>F130*D130</f>
        <v>37.08000000000002</v>
      </c>
      <c r="H130" s="732"/>
      <c r="I130" s="683">
        <f>(H129+H131)/2</f>
        <v>3.25</v>
      </c>
      <c r="J130" s="683">
        <f>I130*D130</f>
        <v>33.475000000000016</v>
      </c>
      <c r="K130" s="683"/>
      <c r="L130" s="683">
        <f t="shared" si="8"/>
        <v>4.45</v>
      </c>
      <c r="M130" s="743">
        <f>L130*D130</f>
        <v>45.835000000000022</v>
      </c>
      <c r="N130" s="116"/>
      <c r="O130" s="116"/>
    </row>
    <row r="131" spans="1:15" ht="12.75" customHeight="1" x14ac:dyDescent="0.25">
      <c r="B131" s="691" t="s">
        <v>50</v>
      </c>
      <c r="C131" s="692">
        <v>0.15794</v>
      </c>
      <c r="D131" s="683"/>
      <c r="E131" s="683">
        <v>3.5</v>
      </c>
      <c r="F131" s="683"/>
      <c r="G131" s="683"/>
      <c r="H131" s="732">
        <v>3.3</v>
      </c>
      <c r="I131" s="683"/>
      <c r="J131" s="683"/>
      <c r="K131" s="683">
        <v>4.7</v>
      </c>
      <c r="L131" s="683"/>
      <c r="M131" s="743"/>
      <c r="N131" s="116"/>
      <c r="O131" s="116"/>
    </row>
    <row r="132" spans="1:15" ht="12.75" customHeight="1" x14ac:dyDescent="0.25">
      <c r="B132" s="691"/>
      <c r="C132" s="692"/>
      <c r="D132" s="683">
        <f>(C133-C131)*1000</f>
        <v>24.06</v>
      </c>
      <c r="E132" s="683"/>
      <c r="F132" s="683">
        <f>(E131+E133)/2</f>
        <v>3.5</v>
      </c>
      <c r="G132" s="683">
        <f>F132*D132</f>
        <v>84.21</v>
      </c>
      <c r="H132" s="732"/>
      <c r="I132" s="683">
        <f>(H131+H133)/2</f>
        <v>3.3</v>
      </c>
      <c r="J132" s="683">
        <f>I132*D132</f>
        <v>79.397999999999996</v>
      </c>
      <c r="K132" s="683"/>
      <c r="L132" s="683">
        <f t="shared" si="8"/>
        <v>4.7</v>
      </c>
      <c r="M132" s="743">
        <f>L132*D132</f>
        <v>113.08199999999999</v>
      </c>
      <c r="N132" s="116"/>
      <c r="O132" s="116"/>
    </row>
    <row r="133" spans="1:15" ht="12.75" customHeight="1" x14ac:dyDescent="0.25">
      <c r="B133" s="691" t="s">
        <v>43</v>
      </c>
      <c r="C133" s="692">
        <v>0.182</v>
      </c>
      <c r="D133" s="683"/>
      <c r="E133" s="683">
        <f>E131</f>
        <v>3.5</v>
      </c>
      <c r="F133" s="683"/>
      <c r="G133" s="683"/>
      <c r="H133" s="732">
        <f>H131</f>
        <v>3.3</v>
      </c>
      <c r="I133" s="683"/>
      <c r="J133" s="683"/>
      <c r="K133" s="683">
        <f>K131</f>
        <v>4.7</v>
      </c>
      <c r="L133" s="683"/>
      <c r="M133" s="743"/>
      <c r="N133" s="116"/>
      <c r="O133" s="116"/>
    </row>
    <row r="134" spans="1:15" ht="12.75" customHeight="1" thickBot="1" x14ac:dyDescent="0.3">
      <c r="B134" s="695"/>
      <c r="C134" s="744"/>
      <c r="D134" s="258"/>
      <c r="E134" s="745"/>
      <c r="F134" s="258"/>
      <c r="G134" s="258"/>
      <c r="H134" s="733"/>
      <c r="I134" s="282"/>
      <c r="J134" s="282"/>
      <c r="K134" s="745"/>
      <c r="L134" s="288"/>
      <c r="M134" s="675"/>
      <c r="N134" s="116"/>
      <c r="O134" s="116"/>
    </row>
    <row r="135" spans="1:15" ht="12.75" customHeight="1" thickBot="1" x14ac:dyDescent="0.3">
      <c r="A135" s="116"/>
      <c r="B135" s="263" t="s">
        <v>574</v>
      </c>
      <c r="C135" s="264"/>
      <c r="D135" s="6"/>
      <c r="E135" s="7"/>
      <c r="F135" s="6"/>
      <c r="G135" s="6">
        <f>SUM(G99:G133)</f>
        <v>771.66100000000017</v>
      </c>
      <c r="H135" s="147"/>
      <c r="I135" s="6"/>
      <c r="J135" s="6">
        <f>SUM(J100:J133)</f>
        <v>420.63599999999997</v>
      </c>
      <c r="K135" s="283"/>
      <c r="L135" s="289"/>
      <c r="M135" s="676">
        <f>SUM(M100:M133)</f>
        <v>746.97050000000002</v>
      </c>
      <c r="N135" s="116"/>
      <c r="O135" s="116"/>
    </row>
    <row r="136" spans="1:15" ht="12.75" customHeight="1" x14ac:dyDescent="0.25">
      <c r="A136" s="116"/>
      <c r="B136" s="265" t="s">
        <v>128</v>
      </c>
      <c r="C136" s="266"/>
      <c r="D136" s="267"/>
      <c r="E136" s="268"/>
      <c r="F136" s="267"/>
      <c r="G136" s="285" t="s">
        <v>24</v>
      </c>
      <c r="H136" s="261"/>
      <c r="I136" s="267"/>
      <c r="J136" s="285" t="s">
        <v>24</v>
      </c>
      <c r="K136" s="284"/>
      <c r="L136" s="262"/>
      <c r="M136" s="677" t="s">
        <v>24</v>
      </c>
      <c r="N136" s="116"/>
      <c r="O136" s="116"/>
    </row>
    <row r="137" spans="1:15" ht="12.75" customHeight="1" x14ac:dyDescent="0.25">
      <c r="A137" s="116"/>
      <c r="B137" s="269" t="s">
        <v>762</v>
      </c>
      <c r="C137" s="14"/>
      <c r="D137" s="51"/>
      <c r="E137" s="55"/>
      <c r="F137" s="51"/>
      <c r="G137" s="281">
        <f>F153</f>
        <v>55</v>
      </c>
      <c r="H137" s="150"/>
      <c r="I137" s="51"/>
      <c r="J137" s="11"/>
      <c r="K137" s="285"/>
      <c r="L137" s="145"/>
      <c r="M137" s="678"/>
      <c r="N137" s="116"/>
      <c r="O137" s="116"/>
    </row>
    <row r="138" spans="1:15" ht="12.75" customHeight="1" x14ac:dyDescent="0.25">
      <c r="A138" s="116"/>
      <c r="B138" s="269" t="s">
        <v>87</v>
      </c>
      <c r="C138" s="14"/>
      <c r="D138" s="51"/>
      <c r="E138" s="55"/>
      <c r="F138" s="51"/>
      <c r="G138" s="51"/>
      <c r="H138" s="150"/>
      <c r="I138" s="51"/>
      <c r="J138" s="51">
        <f>F160</f>
        <v>19</v>
      </c>
      <c r="K138" s="285" t="s">
        <v>24</v>
      </c>
      <c r="L138" s="145"/>
      <c r="M138" s="678"/>
      <c r="N138" s="116"/>
      <c r="O138" s="116"/>
    </row>
    <row r="139" spans="1:15" ht="12.75" customHeight="1" thickBot="1" x14ac:dyDescent="0.3">
      <c r="A139" s="151"/>
      <c r="B139" s="270" t="s">
        <v>129</v>
      </c>
      <c r="C139" s="271"/>
      <c r="D139" s="272"/>
      <c r="E139" s="273"/>
      <c r="F139" s="272"/>
      <c r="G139" s="272"/>
      <c r="H139" s="260"/>
      <c r="I139" s="272"/>
      <c r="J139" s="272">
        <f>G186</f>
        <v>72.884299999999996</v>
      </c>
      <c r="K139" s="286" t="s">
        <v>24</v>
      </c>
      <c r="L139" s="259"/>
      <c r="M139" s="679"/>
      <c r="N139" s="116"/>
      <c r="O139" s="116"/>
    </row>
    <row r="140" spans="1:15" ht="12.75" customHeight="1" thickBot="1" x14ac:dyDescent="0.3">
      <c r="A140" s="116"/>
      <c r="B140" s="274" t="s">
        <v>59</v>
      </c>
      <c r="C140" s="271"/>
      <c r="D140" s="272"/>
      <c r="E140" s="273"/>
      <c r="F140" s="272"/>
      <c r="G140" s="275">
        <f>SUM(G135:G139)</f>
        <v>826.66100000000017</v>
      </c>
      <c r="H140" s="260"/>
      <c r="I140" s="272"/>
      <c r="J140" s="275">
        <f>SUM(J135:J139)</f>
        <v>512.52029999999991</v>
      </c>
      <c r="K140" s="286" t="s">
        <v>24</v>
      </c>
      <c r="L140" s="259"/>
      <c r="M140" s="679"/>
      <c r="N140" s="116"/>
      <c r="O140" s="116"/>
    </row>
    <row r="141" spans="1:15" ht="12.75" customHeight="1" x14ac:dyDescent="0.25">
      <c r="A141" s="116"/>
      <c r="B141" s="280"/>
      <c r="C141" s="14"/>
      <c r="D141" s="51"/>
      <c r="E141" s="55"/>
      <c r="F141" s="51"/>
      <c r="G141" s="563"/>
      <c r="H141" s="150"/>
      <c r="I141" s="51"/>
      <c r="J141" s="563"/>
      <c r="K141" s="285"/>
      <c r="L141" s="145"/>
      <c r="M141" s="561"/>
      <c r="N141" s="116"/>
      <c r="O141" s="116"/>
    </row>
    <row r="142" spans="1:15" ht="12.75" customHeight="1" x14ac:dyDescent="0.25">
      <c r="B142" s="11" t="s">
        <v>767</v>
      </c>
      <c r="C142" s="14"/>
      <c r="D142" s="51" t="s">
        <v>768</v>
      </c>
      <c r="E142" s="55"/>
      <c r="F142" s="51"/>
      <c r="G142" s="51"/>
      <c r="H142" s="55"/>
      <c r="I142" s="51"/>
      <c r="J142" s="563"/>
      <c r="K142" s="285"/>
      <c r="L142" s="324"/>
      <c r="M142" s="450"/>
      <c r="N142" s="116"/>
      <c r="O142" s="116"/>
    </row>
    <row r="143" spans="1:15" ht="12.75" customHeight="1" x14ac:dyDescent="0.25">
      <c r="B143" s="116"/>
      <c r="C143" s="130"/>
      <c r="D143" s="149"/>
      <c r="E143" s="150"/>
      <c r="F143" s="149"/>
      <c r="G143" s="149"/>
      <c r="H143" s="150"/>
      <c r="I143" s="149"/>
      <c r="J143" s="256"/>
      <c r="K143" s="555"/>
      <c r="L143" s="145"/>
      <c r="M143" s="561"/>
      <c r="N143" s="116"/>
      <c r="O143" s="116"/>
    </row>
    <row r="144" spans="1:15" ht="12.75" customHeight="1" x14ac:dyDescent="0.25">
      <c r="A144" s="116"/>
      <c r="B144" s="276" t="s">
        <v>567</v>
      </c>
      <c r="D144" s="12"/>
      <c r="E144" s="277" t="s">
        <v>568</v>
      </c>
      <c r="F144" s="51"/>
      <c r="G144" s="51"/>
      <c r="H144" s="55"/>
      <c r="I144" s="149"/>
      <c r="J144" s="256"/>
      <c r="K144" s="166"/>
      <c r="L144" s="145"/>
      <c r="M144" s="561"/>
      <c r="N144" s="116"/>
      <c r="O144" s="116"/>
    </row>
    <row r="145" spans="1:15" ht="12.75" customHeight="1" x14ac:dyDescent="0.25">
      <c r="A145" s="172"/>
      <c r="B145" s="278" t="s">
        <v>570</v>
      </c>
      <c r="C145" s="5"/>
      <c r="D145" s="14">
        <v>25</v>
      </c>
      <c r="E145" s="51" t="s">
        <v>23</v>
      </c>
      <c r="F145" s="51"/>
      <c r="G145" s="51"/>
      <c r="H145" s="55"/>
      <c r="I145" s="149"/>
      <c r="J145" s="256"/>
      <c r="K145" s="166"/>
      <c r="L145" s="145"/>
      <c r="M145" s="561"/>
      <c r="N145" s="116"/>
      <c r="O145" s="116"/>
    </row>
    <row r="146" spans="1:15" ht="12.75" customHeight="1" x14ac:dyDescent="0.25">
      <c r="A146" s="116"/>
      <c r="B146" s="279" t="s">
        <v>569</v>
      </c>
      <c r="C146" s="120"/>
      <c r="D146" s="17">
        <v>0.8</v>
      </c>
      <c r="E146" s="52" t="s">
        <v>7</v>
      </c>
      <c r="F146" s="52"/>
      <c r="G146" s="52"/>
      <c r="H146" s="55"/>
      <c r="I146" s="149"/>
      <c r="J146" s="256"/>
      <c r="K146" s="166"/>
      <c r="L146" s="145"/>
      <c r="M146" s="561"/>
      <c r="N146" s="116"/>
      <c r="O146" s="116"/>
    </row>
    <row r="147" spans="1:15" ht="12.75" customHeight="1" x14ac:dyDescent="0.25">
      <c r="A147" s="116"/>
      <c r="B147" s="280" t="s">
        <v>22</v>
      </c>
      <c r="C147" s="14"/>
      <c r="D147" s="51"/>
      <c r="E147" s="5"/>
      <c r="F147" s="55">
        <f>D145*D146</f>
        <v>20</v>
      </c>
      <c r="G147" s="51" t="s">
        <v>24</v>
      </c>
      <c r="H147" s="55"/>
      <c r="I147" s="149"/>
      <c r="J147" s="256"/>
      <c r="K147" s="166"/>
      <c r="L147" s="145"/>
      <c r="M147" s="561"/>
      <c r="N147" s="116"/>
      <c r="O147" s="116"/>
    </row>
    <row r="148" spans="1:15" ht="12.75" customHeight="1" x14ac:dyDescent="0.25">
      <c r="A148" s="174"/>
      <c r="B148" s="278" t="s">
        <v>571</v>
      </c>
      <c r="C148" s="14"/>
      <c r="D148" s="51"/>
      <c r="E148" s="55"/>
      <c r="F148" s="51"/>
      <c r="G148" s="51"/>
      <c r="H148" s="55"/>
      <c r="I148" s="149"/>
      <c r="J148" s="256"/>
      <c r="K148" s="166"/>
      <c r="L148" s="145"/>
      <c r="M148" s="561"/>
      <c r="N148" s="116"/>
      <c r="O148" s="116"/>
    </row>
    <row r="149" spans="1:15" ht="12.75" customHeight="1" x14ac:dyDescent="0.25">
      <c r="A149" s="116"/>
      <c r="B149" s="278" t="s">
        <v>552</v>
      </c>
      <c r="C149" s="14" t="s">
        <v>572</v>
      </c>
      <c r="D149" s="51">
        <v>3.5</v>
      </c>
      <c r="E149" s="55" t="s">
        <v>23</v>
      </c>
      <c r="F149" s="51"/>
      <c r="G149" s="51"/>
      <c r="H149" s="55"/>
      <c r="I149" s="149"/>
      <c r="J149" s="256"/>
      <c r="K149" s="166"/>
      <c r="L149" s="145"/>
      <c r="M149" s="561"/>
      <c r="N149" s="116"/>
      <c r="O149" s="116"/>
    </row>
    <row r="150" spans="1:15" ht="12.75" customHeight="1" x14ac:dyDescent="0.25">
      <c r="A150" s="116"/>
      <c r="B150" s="279" t="s">
        <v>26</v>
      </c>
      <c r="C150" s="17"/>
      <c r="D150" s="52">
        <v>10</v>
      </c>
      <c r="E150" s="57" t="s">
        <v>7</v>
      </c>
      <c r="F150" s="52"/>
      <c r="G150" s="52"/>
      <c r="H150" s="55"/>
      <c r="I150" s="149"/>
      <c r="J150" s="256"/>
      <c r="K150" s="166"/>
      <c r="L150" s="145"/>
      <c r="M150" s="561"/>
      <c r="N150" s="116"/>
      <c r="O150" s="116"/>
    </row>
    <row r="151" spans="1:15" ht="12.75" customHeight="1" x14ac:dyDescent="0.25">
      <c r="A151" s="116"/>
      <c r="B151" s="279" t="s">
        <v>22</v>
      </c>
      <c r="C151" s="17"/>
      <c r="D151" s="52"/>
      <c r="E151" s="57"/>
      <c r="F151" s="52">
        <f>D149*D150</f>
        <v>35</v>
      </c>
      <c r="G151" s="52" t="s">
        <v>24</v>
      </c>
      <c r="H151" s="55"/>
      <c r="I151" s="149"/>
      <c r="J151" s="256"/>
      <c r="K151" s="166"/>
      <c r="L151" s="145"/>
      <c r="M151" s="561"/>
      <c r="N151" s="116"/>
      <c r="O151" s="116"/>
    </row>
    <row r="152" spans="1:15" ht="12.75" customHeight="1" x14ac:dyDescent="0.25">
      <c r="A152" s="116"/>
      <c r="B152" s="280"/>
      <c r="C152" s="14"/>
      <c r="D152" s="51"/>
      <c r="E152" s="55"/>
      <c r="F152" s="51"/>
      <c r="G152" s="51"/>
      <c r="H152" s="55"/>
      <c r="I152" s="149"/>
      <c r="J152" s="256"/>
      <c r="K152" s="166"/>
      <c r="L152" s="145"/>
      <c r="M152" s="561"/>
      <c r="N152" s="116"/>
      <c r="O152" s="116"/>
    </row>
    <row r="153" spans="1:15" ht="12.75" customHeight="1" x14ac:dyDescent="0.25">
      <c r="A153" s="116"/>
      <c r="B153" s="278" t="s">
        <v>573</v>
      </c>
      <c r="C153" s="14"/>
      <c r="D153" s="51"/>
      <c r="E153" s="55"/>
      <c r="F153" s="51">
        <f>SUM(F147:F151)</f>
        <v>55</v>
      </c>
      <c r="G153" s="51" t="s">
        <v>24</v>
      </c>
      <c r="H153" s="55"/>
      <c r="I153" s="149"/>
      <c r="J153" s="256"/>
      <c r="K153" s="166"/>
      <c r="L153" s="145"/>
      <c r="M153" s="561"/>
      <c r="N153" s="116"/>
      <c r="O153" s="116"/>
    </row>
    <row r="154" spans="1:15" ht="12.75" customHeight="1" x14ac:dyDescent="0.25">
      <c r="A154" s="116"/>
      <c r="B154" s="159"/>
      <c r="C154" s="130"/>
      <c r="D154" s="149"/>
      <c r="E154" s="150"/>
      <c r="F154" s="149"/>
      <c r="G154" s="149"/>
      <c r="H154" s="150"/>
      <c r="I154" s="149"/>
      <c r="J154" s="256"/>
      <c r="K154" s="166"/>
      <c r="L154" s="145"/>
      <c r="M154" s="561"/>
      <c r="N154" s="116"/>
      <c r="O154" s="116"/>
    </row>
    <row r="155" spans="1:15" ht="12.75" customHeight="1" x14ac:dyDescent="0.25">
      <c r="A155" s="335"/>
      <c r="B155" s="276" t="s">
        <v>115</v>
      </c>
      <c r="C155" s="290"/>
      <c r="D155" s="12"/>
      <c r="E155" s="13"/>
      <c r="F155" s="12"/>
      <c r="G155" s="12"/>
      <c r="H155" s="13"/>
      <c r="I155" s="12"/>
      <c r="J155" s="12"/>
      <c r="K155" s="336"/>
      <c r="L155" s="337"/>
      <c r="M155" s="680"/>
      <c r="N155" s="116"/>
      <c r="O155" s="116"/>
    </row>
    <row r="156" spans="1:15" ht="12.75" customHeight="1" x14ac:dyDescent="0.25">
      <c r="A156" s="338" t="s">
        <v>591</v>
      </c>
      <c r="B156" s="278" t="s">
        <v>577</v>
      </c>
      <c r="C156" s="14"/>
      <c r="D156" s="51"/>
      <c r="E156" s="13"/>
      <c r="F156" s="12"/>
      <c r="G156" s="12"/>
      <c r="H156" s="13"/>
      <c r="I156" s="12"/>
      <c r="J156" s="12"/>
      <c r="K156" s="336"/>
      <c r="L156" s="337"/>
      <c r="M156" s="680"/>
      <c r="N156" s="116"/>
      <c r="O156" s="116"/>
    </row>
    <row r="157" spans="1:15" ht="12.75" customHeight="1" x14ac:dyDescent="0.25">
      <c r="A157" s="339"/>
      <c r="B157" s="278" t="s">
        <v>130</v>
      </c>
      <c r="C157" s="14"/>
      <c r="D157" s="51"/>
      <c r="E157" s="13"/>
      <c r="F157" s="12"/>
      <c r="G157" s="12"/>
      <c r="H157" s="13"/>
      <c r="I157" s="12"/>
      <c r="J157" s="12"/>
      <c r="K157" s="336"/>
      <c r="L157" s="337"/>
      <c r="M157" s="680"/>
      <c r="N157" s="116"/>
      <c r="O157" s="116"/>
    </row>
    <row r="158" spans="1:15" ht="12.75" customHeight="1" x14ac:dyDescent="0.25">
      <c r="A158" s="339"/>
      <c r="B158" s="280" t="s">
        <v>31</v>
      </c>
      <c r="C158" s="14"/>
      <c r="D158" s="51">
        <v>95</v>
      </c>
      <c r="E158" s="55" t="s">
        <v>23</v>
      </c>
      <c r="F158" s="51"/>
      <c r="G158" s="51"/>
      <c r="H158" s="55"/>
      <c r="I158" s="51"/>
      <c r="J158" s="51"/>
      <c r="K158" s="340"/>
      <c r="L158" s="324"/>
      <c r="M158" s="450"/>
      <c r="N158" s="116"/>
      <c r="O158" s="116"/>
    </row>
    <row r="159" spans="1:15" ht="12.75" customHeight="1" x14ac:dyDescent="0.25">
      <c r="A159" s="339"/>
      <c r="B159" s="279" t="s">
        <v>116</v>
      </c>
      <c r="C159" s="17"/>
      <c r="D159" s="52">
        <v>0.2</v>
      </c>
      <c r="E159" s="57" t="s">
        <v>7</v>
      </c>
      <c r="F159" s="52"/>
      <c r="G159" s="51"/>
      <c r="H159" s="55"/>
      <c r="I159" s="51"/>
      <c r="J159" s="51"/>
      <c r="K159" s="285"/>
      <c r="L159" s="324"/>
      <c r="M159" s="450"/>
      <c r="N159" s="116"/>
      <c r="O159" s="116"/>
    </row>
    <row r="160" spans="1:15" ht="12.75" customHeight="1" x14ac:dyDescent="0.25">
      <c r="A160" s="339"/>
      <c r="B160" s="280" t="s">
        <v>117</v>
      </c>
      <c r="C160" s="14"/>
      <c r="D160" s="51"/>
      <c r="E160" s="55"/>
      <c r="F160" s="51">
        <f>D158*D159</f>
        <v>19</v>
      </c>
      <c r="G160" s="51" t="s">
        <v>24</v>
      </c>
      <c r="H160" s="55"/>
      <c r="I160" s="51"/>
      <c r="J160" s="51"/>
      <c r="K160" s="285"/>
      <c r="L160" s="324"/>
      <c r="M160" s="450"/>
      <c r="N160" s="116"/>
      <c r="O160" s="116"/>
    </row>
    <row r="161" spans="1:15" ht="12.75" customHeight="1" x14ac:dyDescent="0.25">
      <c r="A161" s="339"/>
      <c r="B161" s="280"/>
      <c r="C161" s="14"/>
      <c r="D161" s="51"/>
      <c r="E161" s="55"/>
      <c r="F161" s="51"/>
      <c r="G161" s="51"/>
      <c r="H161" s="55"/>
      <c r="I161" s="51"/>
      <c r="J161" s="51"/>
      <c r="K161" s="285"/>
      <c r="L161" s="324"/>
      <c r="M161" s="450"/>
      <c r="N161" s="116"/>
      <c r="O161" s="116"/>
    </row>
    <row r="162" spans="1:15" ht="12.75" customHeight="1" x14ac:dyDescent="0.25">
      <c r="A162" s="338" t="s">
        <v>592</v>
      </c>
      <c r="B162" s="341" t="s">
        <v>425</v>
      </c>
      <c r="C162" s="14"/>
      <c r="D162" s="51"/>
      <c r="E162" s="55"/>
      <c r="F162" s="51"/>
      <c r="G162" s="51"/>
      <c r="H162" s="55"/>
      <c r="I162" s="51"/>
      <c r="J162" s="51"/>
      <c r="K162" s="285"/>
      <c r="L162" s="324"/>
      <c r="M162" s="450"/>
      <c r="N162" s="116"/>
      <c r="O162" s="116"/>
    </row>
    <row r="163" spans="1:15" ht="12.75" customHeight="1" x14ac:dyDescent="0.25">
      <c r="A163" s="339"/>
      <c r="B163" s="278" t="s">
        <v>130</v>
      </c>
      <c r="C163" s="14"/>
      <c r="D163" s="51"/>
      <c r="E163" s="55"/>
      <c r="F163" s="51"/>
      <c r="G163" s="51"/>
      <c r="H163" s="55"/>
      <c r="I163" s="51"/>
      <c r="J163" s="51"/>
      <c r="K163" s="285"/>
      <c r="L163" s="324"/>
      <c r="M163" s="450"/>
      <c r="N163" s="116"/>
      <c r="O163" s="116"/>
    </row>
    <row r="164" spans="1:15" ht="12.75" customHeight="1" thickBot="1" x14ac:dyDescent="0.3">
      <c r="A164" s="339"/>
      <c r="B164" s="278" t="s">
        <v>118</v>
      </c>
      <c r="C164" s="14"/>
      <c r="D164" s="51"/>
      <c r="E164" s="55"/>
      <c r="F164" s="51"/>
      <c r="G164" s="51"/>
      <c r="H164" s="55"/>
      <c r="I164" s="51"/>
      <c r="J164" s="51"/>
      <c r="K164" s="285"/>
      <c r="L164" s="324"/>
      <c r="M164" s="450"/>
      <c r="N164" s="116"/>
      <c r="O164" s="116"/>
    </row>
    <row r="165" spans="1:15" ht="12.75" customHeight="1" thickBot="1" x14ac:dyDescent="0.3">
      <c r="A165" s="335"/>
      <c r="B165" s="684" t="s">
        <v>12</v>
      </c>
      <c r="C165" s="685"/>
      <c r="D165" s="688" t="s">
        <v>11</v>
      </c>
      <c r="E165" s="690"/>
      <c r="F165" s="690"/>
      <c r="G165" s="690"/>
      <c r="H165" s="55"/>
      <c r="I165" s="51"/>
      <c r="J165" s="51"/>
      <c r="K165" s="285"/>
      <c r="L165" s="324"/>
      <c r="M165" s="450"/>
      <c r="N165" s="116"/>
      <c r="O165" s="116"/>
    </row>
    <row r="166" spans="1:15" ht="29.25" customHeight="1" thickBot="1" x14ac:dyDescent="0.3">
      <c r="A166" s="335"/>
      <c r="B166" s="686"/>
      <c r="C166" s="687"/>
      <c r="D166" s="688"/>
      <c r="E166" s="698" t="s">
        <v>52</v>
      </c>
      <c r="F166" s="699"/>
      <c r="G166" s="700"/>
      <c r="H166" s="55"/>
      <c r="I166" s="51"/>
      <c r="J166" s="51"/>
      <c r="K166" s="285"/>
      <c r="L166" s="324"/>
      <c r="M166" s="450"/>
      <c r="N166" s="116"/>
      <c r="O166" s="116"/>
    </row>
    <row r="167" spans="1:15" ht="30" customHeight="1" thickBot="1" x14ac:dyDescent="0.3">
      <c r="A167" s="335"/>
      <c r="B167" s="238" t="s">
        <v>9</v>
      </c>
      <c r="C167" s="239" t="s">
        <v>10</v>
      </c>
      <c r="D167" s="689"/>
      <c r="E167" s="240" t="s">
        <v>13</v>
      </c>
      <c r="F167" s="241" t="s">
        <v>14</v>
      </c>
      <c r="G167" s="240" t="s">
        <v>15</v>
      </c>
      <c r="H167" s="55"/>
      <c r="I167" s="51"/>
      <c r="J167" s="51"/>
      <c r="K167" s="285"/>
      <c r="L167" s="324"/>
      <c r="M167" s="450"/>
      <c r="N167" s="116"/>
      <c r="O167" s="116"/>
    </row>
    <row r="168" spans="1:15" ht="12.75" customHeight="1" thickBot="1" x14ac:dyDescent="0.3">
      <c r="A168" s="335"/>
      <c r="B168" s="242"/>
      <c r="C168" s="243" t="s">
        <v>8</v>
      </c>
      <c r="D168" s="238" t="s">
        <v>7</v>
      </c>
      <c r="E168" s="244" t="s">
        <v>565</v>
      </c>
      <c r="F168" s="245" t="s">
        <v>565</v>
      </c>
      <c r="G168" s="244" t="s">
        <v>566</v>
      </c>
      <c r="H168" s="55"/>
      <c r="I168" s="51"/>
      <c r="J168" s="51"/>
      <c r="K168" s="285"/>
      <c r="L168" s="324"/>
      <c r="M168" s="450"/>
      <c r="N168" s="116"/>
      <c r="O168" s="116"/>
    </row>
    <row r="169" spans="1:15" ht="12.75" customHeight="1" thickBot="1" x14ac:dyDescent="0.3">
      <c r="A169" s="335"/>
      <c r="B169" s="327"/>
      <c r="C169" s="249"/>
      <c r="D169" s="250"/>
      <c r="E169" s="251"/>
      <c r="F169" s="328"/>
      <c r="G169" s="329"/>
      <c r="H169" s="55"/>
      <c r="I169" s="51"/>
      <c r="J169" s="51"/>
      <c r="K169" s="285"/>
      <c r="L169" s="324"/>
      <c r="M169" s="450"/>
      <c r="N169" s="116"/>
      <c r="O169" s="116"/>
    </row>
    <row r="170" spans="1:15" ht="12.75" customHeight="1" x14ac:dyDescent="0.25">
      <c r="A170" s="335"/>
      <c r="B170" s="747" t="s">
        <v>35</v>
      </c>
      <c r="C170" s="703">
        <v>0</v>
      </c>
      <c r="D170" s="704">
        <f>(C172-C170)*1000</f>
        <v>12.5</v>
      </c>
      <c r="E170" s="704">
        <f>E172</f>
        <v>1</v>
      </c>
      <c r="F170" s="704">
        <f>(E170+E172)/2</f>
        <v>1</v>
      </c>
      <c r="G170" s="704">
        <f>F170*D170</f>
        <v>12.5</v>
      </c>
      <c r="H170" s="55"/>
      <c r="I170" s="51"/>
      <c r="J170" s="51"/>
      <c r="K170" s="285"/>
      <c r="L170" s="324"/>
      <c r="M170" s="450"/>
      <c r="N170" s="116"/>
      <c r="O170" s="116"/>
    </row>
    <row r="171" spans="1:15" ht="12.75" customHeight="1" x14ac:dyDescent="0.25">
      <c r="A171" s="335"/>
      <c r="B171" s="748"/>
      <c r="C171" s="692"/>
      <c r="D171" s="683"/>
      <c r="E171" s="683"/>
      <c r="F171" s="683"/>
      <c r="G171" s="683"/>
      <c r="H171" s="55"/>
      <c r="I171" s="51"/>
      <c r="J171" s="51"/>
      <c r="K171" s="285"/>
      <c r="L171" s="324"/>
      <c r="M171" s="450"/>
      <c r="N171" s="116"/>
      <c r="O171" s="116"/>
    </row>
    <row r="172" spans="1:15" ht="12.75" customHeight="1" x14ac:dyDescent="0.25">
      <c r="A172" s="335"/>
      <c r="B172" s="748" t="s">
        <v>119</v>
      </c>
      <c r="C172" s="692">
        <v>1.2500000000000001E-2</v>
      </c>
      <c r="D172" s="683"/>
      <c r="E172" s="683">
        <v>1</v>
      </c>
      <c r="F172" s="683"/>
      <c r="G172" s="683"/>
      <c r="H172" s="55"/>
      <c r="I172" s="51"/>
      <c r="J172" s="51"/>
      <c r="K172" s="285"/>
      <c r="L172" s="324"/>
      <c r="M172" s="450"/>
      <c r="N172" s="116"/>
      <c r="O172" s="116"/>
    </row>
    <row r="173" spans="1:15" ht="12.75" customHeight="1" x14ac:dyDescent="0.25">
      <c r="A173" s="335"/>
      <c r="B173" s="748"/>
      <c r="C173" s="692"/>
      <c r="D173" s="683">
        <f>(C174-C172)*1000</f>
        <v>9.9999999999999982</v>
      </c>
      <c r="E173" s="683"/>
      <c r="F173" s="683">
        <f>(E172+E174)/2</f>
        <v>1.1000000000000001</v>
      </c>
      <c r="G173" s="683">
        <f>F173*D173</f>
        <v>10.999999999999998</v>
      </c>
      <c r="H173" s="55"/>
      <c r="I173" s="51"/>
      <c r="J173" s="51"/>
      <c r="K173" s="285"/>
      <c r="L173" s="324"/>
      <c r="M173" s="450"/>
      <c r="N173" s="116"/>
      <c r="O173" s="116"/>
    </row>
    <row r="174" spans="1:15" ht="12.75" customHeight="1" x14ac:dyDescent="0.25">
      <c r="A174" s="335"/>
      <c r="B174" s="748" t="s">
        <v>120</v>
      </c>
      <c r="C174" s="692">
        <v>2.2499999999999999E-2</v>
      </c>
      <c r="D174" s="683"/>
      <c r="E174" s="683">
        <v>1.2</v>
      </c>
      <c r="F174" s="683"/>
      <c r="G174" s="683"/>
      <c r="H174" s="55"/>
      <c r="I174" s="51"/>
      <c r="J174" s="51"/>
      <c r="K174" s="285"/>
      <c r="L174" s="324"/>
      <c r="M174" s="450"/>
      <c r="N174" s="116"/>
      <c r="O174" s="116"/>
    </row>
    <row r="175" spans="1:15" ht="12.75" customHeight="1" x14ac:dyDescent="0.25">
      <c r="A175" s="335"/>
      <c r="B175" s="748"/>
      <c r="C175" s="692"/>
      <c r="D175" s="683">
        <f>(C176-C174)*1000</f>
        <v>10.050000000000004</v>
      </c>
      <c r="E175" s="683"/>
      <c r="F175" s="683">
        <f>(E174+E176)/2</f>
        <v>1.22</v>
      </c>
      <c r="G175" s="683">
        <f>F175*D175</f>
        <v>12.261000000000005</v>
      </c>
      <c r="H175" s="55"/>
      <c r="I175" s="51"/>
      <c r="J175" s="51"/>
      <c r="K175" s="285"/>
      <c r="L175" s="324"/>
      <c r="M175" s="450"/>
      <c r="N175" s="116"/>
      <c r="O175" s="116"/>
    </row>
    <row r="176" spans="1:15" ht="12.75" customHeight="1" x14ac:dyDescent="0.25">
      <c r="A176" s="335"/>
      <c r="B176" s="748" t="s">
        <v>121</v>
      </c>
      <c r="C176" s="692">
        <v>3.2550000000000003E-2</v>
      </c>
      <c r="D176" s="683"/>
      <c r="E176" s="683">
        <v>1.24</v>
      </c>
      <c r="F176" s="683"/>
      <c r="G176" s="683"/>
      <c r="H176" s="55"/>
      <c r="I176" s="51"/>
      <c r="J176" s="51"/>
      <c r="K176" s="285"/>
      <c r="L176" s="324"/>
      <c r="M176" s="450"/>
      <c r="N176" s="116"/>
      <c r="O176" s="116"/>
    </row>
    <row r="177" spans="1:15" ht="12.75" customHeight="1" x14ac:dyDescent="0.25">
      <c r="A177" s="335"/>
      <c r="B177" s="748"/>
      <c r="C177" s="692"/>
      <c r="D177" s="683">
        <f>(C178-C176)*1000</f>
        <v>10.339999999999995</v>
      </c>
      <c r="E177" s="683"/>
      <c r="F177" s="683">
        <f>(E176+E178)/2</f>
        <v>1.2450000000000001</v>
      </c>
      <c r="G177" s="683">
        <f>F177*D177</f>
        <v>12.873299999999995</v>
      </c>
      <c r="H177" s="55"/>
      <c r="I177" s="51"/>
      <c r="J177" s="51"/>
      <c r="K177" s="285"/>
      <c r="L177" s="324"/>
      <c r="M177" s="450"/>
      <c r="N177" s="116"/>
      <c r="O177" s="116"/>
    </row>
    <row r="178" spans="1:15" ht="12.75" customHeight="1" x14ac:dyDescent="0.25">
      <c r="A178" s="335"/>
      <c r="B178" s="748" t="s">
        <v>122</v>
      </c>
      <c r="C178" s="692">
        <v>4.2889999999999998E-2</v>
      </c>
      <c r="D178" s="683"/>
      <c r="E178" s="683">
        <v>1.25</v>
      </c>
      <c r="F178" s="683"/>
      <c r="G178" s="683"/>
      <c r="H178" s="55"/>
      <c r="I178" s="51"/>
      <c r="J178" s="51"/>
      <c r="K178" s="285"/>
      <c r="L178" s="324"/>
      <c r="M178" s="450"/>
      <c r="N178" s="116"/>
      <c r="O178" s="116"/>
    </row>
    <row r="179" spans="1:15" ht="12.75" customHeight="1" x14ac:dyDescent="0.25">
      <c r="A179" s="335"/>
      <c r="B179" s="748"/>
      <c r="C179" s="692"/>
      <c r="D179" s="683">
        <f>(C180-C178)*1000</f>
        <v>10.000000000000002</v>
      </c>
      <c r="E179" s="683"/>
      <c r="F179" s="683">
        <f>(E178+E180)/2</f>
        <v>1.5249999999999999</v>
      </c>
      <c r="G179" s="683">
        <f>F179*D179</f>
        <v>15.250000000000002</v>
      </c>
      <c r="H179" s="55"/>
      <c r="I179" s="51"/>
      <c r="J179" s="51"/>
      <c r="K179" s="285"/>
      <c r="L179" s="324"/>
      <c r="M179" s="450"/>
      <c r="N179" s="116"/>
      <c r="O179" s="116"/>
    </row>
    <row r="180" spans="1:15" ht="12.75" customHeight="1" x14ac:dyDescent="0.25">
      <c r="A180" s="335"/>
      <c r="B180" s="748" t="s">
        <v>123</v>
      </c>
      <c r="C180" s="692">
        <v>5.289E-2</v>
      </c>
      <c r="D180" s="683"/>
      <c r="E180" s="683">
        <v>1.8</v>
      </c>
      <c r="F180" s="683"/>
      <c r="G180" s="683"/>
      <c r="H180" s="55"/>
      <c r="I180" s="51"/>
      <c r="J180" s="51"/>
      <c r="K180" s="285"/>
      <c r="L180" s="324"/>
      <c r="M180" s="450"/>
      <c r="N180" s="116"/>
      <c r="O180" s="116"/>
    </row>
    <row r="181" spans="1:15" ht="12.75" customHeight="1" x14ac:dyDescent="0.25">
      <c r="A181" s="335"/>
      <c r="B181" s="748"/>
      <c r="C181" s="692"/>
      <c r="D181" s="683">
        <f>(C182-C180)*1000</f>
        <v>10.000000000000002</v>
      </c>
      <c r="E181" s="683"/>
      <c r="F181" s="683">
        <f>(E180+E182)/2</f>
        <v>0.9</v>
      </c>
      <c r="G181" s="683">
        <f>F181*D181</f>
        <v>9.0000000000000018</v>
      </c>
      <c r="H181" s="55"/>
      <c r="I181" s="51"/>
      <c r="J181" s="51"/>
      <c r="K181" s="285"/>
      <c r="L181" s="324"/>
      <c r="M181" s="450"/>
      <c r="N181" s="116"/>
      <c r="O181" s="116"/>
    </row>
    <row r="182" spans="1:15" ht="12.75" customHeight="1" x14ac:dyDescent="0.25">
      <c r="A182" s="335"/>
      <c r="B182" s="748" t="s">
        <v>124</v>
      </c>
      <c r="C182" s="692">
        <v>6.2890000000000001E-2</v>
      </c>
      <c r="D182" s="683"/>
      <c r="E182" s="683">
        <v>0</v>
      </c>
      <c r="F182" s="683"/>
      <c r="G182" s="683"/>
      <c r="H182" s="55"/>
      <c r="I182" s="51"/>
      <c r="J182" s="51"/>
      <c r="K182" s="285"/>
      <c r="L182" s="324"/>
      <c r="M182" s="450"/>
      <c r="N182" s="116"/>
      <c r="O182" s="116"/>
    </row>
    <row r="183" spans="1:15" ht="12.75" customHeight="1" x14ac:dyDescent="0.25">
      <c r="A183" s="335"/>
      <c r="B183" s="748"/>
      <c r="C183" s="692"/>
      <c r="D183" s="683">
        <f>(C184-C182)*1000</f>
        <v>11.270000000000003</v>
      </c>
      <c r="E183" s="683"/>
      <c r="F183" s="683">
        <f>(E182+E184)/2</f>
        <v>0</v>
      </c>
      <c r="G183" s="683">
        <f>F183*D183</f>
        <v>0</v>
      </c>
      <c r="H183" s="55"/>
      <c r="I183" s="51"/>
      <c r="J183" s="51"/>
      <c r="K183" s="285" t="s">
        <v>382</v>
      </c>
      <c r="L183" s="324"/>
      <c r="M183" s="450"/>
      <c r="N183" s="116"/>
      <c r="O183" s="116"/>
    </row>
    <row r="184" spans="1:15" ht="12.75" customHeight="1" x14ac:dyDescent="0.25">
      <c r="A184" s="335"/>
      <c r="B184" s="330" t="s">
        <v>125</v>
      </c>
      <c r="C184" s="692">
        <v>7.4160000000000004E-2</v>
      </c>
      <c r="D184" s="683"/>
      <c r="E184" s="683">
        <v>0</v>
      </c>
      <c r="F184" s="683"/>
      <c r="G184" s="683"/>
      <c r="H184" s="13"/>
      <c r="I184" s="12"/>
      <c r="J184" s="12"/>
      <c r="K184" s="336"/>
      <c r="L184" s="337"/>
      <c r="M184" s="680"/>
      <c r="N184" s="116"/>
      <c r="O184" s="116"/>
    </row>
    <row r="185" spans="1:15" ht="12.75" customHeight="1" thickBot="1" x14ac:dyDescent="0.3">
      <c r="A185" s="335"/>
      <c r="B185" s="331"/>
      <c r="C185" s="696"/>
      <c r="D185" s="257">
        <f>SUM(D170:D184)</f>
        <v>74.16</v>
      </c>
      <c r="E185" s="697"/>
      <c r="F185" s="332"/>
      <c r="G185" s="332"/>
      <c r="H185" s="13"/>
      <c r="I185" s="12"/>
      <c r="J185" s="12"/>
      <c r="K185" s="336"/>
      <c r="L185" s="337"/>
      <c r="M185" s="680"/>
      <c r="N185" s="116"/>
      <c r="O185" s="116"/>
    </row>
    <row r="186" spans="1:15" ht="12.75" customHeight="1" thickBot="1" x14ac:dyDescent="0.3">
      <c r="A186" s="153"/>
      <c r="B186" s="333" t="s">
        <v>127</v>
      </c>
      <c r="C186" s="264"/>
      <c r="D186" s="6"/>
      <c r="E186" s="7"/>
      <c r="F186" s="6"/>
      <c r="G186" s="334">
        <f>SUM(G170:G184)</f>
        <v>72.884299999999996</v>
      </c>
      <c r="H186" s="156"/>
      <c r="I186" s="155"/>
      <c r="J186" s="155"/>
      <c r="K186" s="157"/>
      <c r="L186" s="158"/>
      <c r="M186" s="681"/>
      <c r="N186" s="116"/>
      <c r="O186" s="116"/>
    </row>
    <row r="187" spans="1:15" ht="12.75" customHeight="1" x14ac:dyDescent="0.25">
      <c r="A187" s="160"/>
      <c r="B187" s="278" t="s">
        <v>126</v>
      </c>
      <c r="C187" s="14"/>
      <c r="D187" s="51"/>
      <c r="E187" s="13"/>
      <c r="F187" s="12"/>
      <c r="G187" s="12"/>
      <c r="H187" s="156"/>
      <c r="I187" s="155"/>
      <c r="J187" s="155"/>
      <c r="K187" s="157"/>
      <c r="L187" s="158"/>
      <c r="M187" s="681"/>
      <c r="N187" s="116"/>
      <c r="O187" s="116"/>
    </row>
    <row r="188" spans="1:15" ht="12.75" customHeight="1" x14ac:dyDescent="0.25">
      <c r="A188" s="160"/>
      <c r="B188" s="278"/>
      <c r="C188" s="14"/>
      <c r="D188" s="51"/>
      <c r="E188" s="13"/>
      <c r="F188" s="12"/>
      <c r="G188" s="12"/>
      <c r="H188" s="156"/>
      <c r="I188" s="155"/>
      <c r="J188" s="155"/>
      <c r="K188" s="157"/>
      <c r="L188" s="158"/>
      <c r="M188" s="681"/>
      <c r="N188" s="116"/>
      <c r="O188" s="116"/>
    </row>
    <row r="189" spans="1:15" ht="12.75" customHeight="1" x14ac:dyDescent="0.25">
      <c r="A189" s="160"/>
      <c r="B189" s="56" t="s">
        <v>209</v>
      </c>
      <c r="C189" s="14" t="s">
        <v>593</v>
      </c>
      <c r="D189" s="51"/>
      <c r="E189" s="13"/>
      <c r="F189" s="12"/>
      <c r="G189" s="12"/>
      <c r="H189" s="156"/>
      <c r="I189" s="155"/>
      <c r="J189" s="155"/>
      <c r="K189" s="157"/>
      <c r="L189" s="158"/>
      <c r="M189" s="681"/>
      <c r="N189" s="116"/>
      <c r="O189" s="116"/>
    </row>
    <row r="190" spans="1:15" ht="12.75" customHeight="1" x14ac:dyDescent="0.25">
      <c r="A190" s="160"/>
      <c r="B190" s="148"/>
      <c r="C190" s="130"/>
      <c r="D190" s="149"/>
      <c r="E190" s="156"/>
      <c r="F190" s="155"/>
      <c r="G190" s="155"/>
      <c r="H190" s="156"/>
      <c r="I190" s="155"/>
      <c r="J190" s="155"/>
      <c r="K190" s="157"/>
      <c r="L190" s="158"/>
      <c r="M190" s="681"/>
      <c r="N190" s="116"/>
      <c r="O190" s="116"/>
    </row>
    <row r="191" spans="1:15" ht="12.75" customHeight="1" x14ac:dyDescent="0.25">
      <c r="B191" s="10" t="s">
        <v>594</v>
      </c>
      <c r="C191" s="723" t="s">
        <v>76</v>
      </c>
      <c r="D191" s="723"/>
      <c r="E191" s="723"/>
      <c r="F191" s="324"/>
      <c r="G191" s="324"/>
      <c r="H191" s="146"/>
      <c r="I191" s="145"/>
      <c r="J191" s="145"/>
      <c r="K191" s="146"/>
      <c r="L191" s="145"/>
      <c r="M191" s="682"/>
      <c r="N191" s="116"/>
      <c r="O191" s="116"/>
    </row>
    <row r="192" spans="1:15" ht="12.75" customHeight="1" thickBot="1" x14ac:dyDescent="0.3">
      <c r="A192" s="116"/>
      <c r="B192" s="342" t="s">
        <v>79</v>
      </c>
      <c r="C192" s="11"/>
      <c r="D192" s="324"/>
      <c r="E192" s="359"/>
      <c r="F192" s="337" t="s">
        <v>78</v>
      </c>
      <c r="G192" s="337"/>
      <c r="H192" s="145"/>
      <c r="I192" s="145"/>
      <c r="J192" s="145"/>
      <c r="K192" s="146"/>
      <c r="L192" s="145"/>
      <c r="M192" s="682"/>
      <c r="N192" s="116"/>
      <c r="O192" s="116"/>
    </row>
    <row r="193" spans="1:15" ht="12.75" customHeight="1" x14ac:dyDescent="0.25">
      <c r="A193" s="116"/>
      <c r="B193" s="684" t="s">
        <v>12</v>
      </c>
      <c r="C193" s="685"/>
      <c r="D193" s="712" t="s">
        <v>11</v>
      </c>
      <c r="E193" s="729" t="s">
        <v>77</v>
      </c>
      <c r="F193" s="730"/>
      <c r="G193" s="731"/>
      <c r="H193" s="724"/>
      <c r="I193" s="724"/>
      <c r="J193" s="724"/>
      <c r="K193" s="146"/>
      <c r="L193" s="145"/>
      <c r="M193" s="682"/>
      <c r="N193" s="116"/>
      <c r="O193" s="116"/>
    </row>
    <row r="194" spans="1:15" ht="12.75" customHeight="1" thickBot="1" x14ac:dyDescent="0.3">
      <c r="A194" s="116"/>
      <c r="B194" s="686"/>
      <c r="C194" s="687"/>
      <c r="D194" s="713"/>
      <c r="E194" s="715" t="s">
        <v>76</v>
      </c>
      <c r="F194" s="716"/>
      <c r="G194" s="717"/>
      <c r="H194" s="728"/>
      <c r="I194" s="728"/>
      <c r="J194" s="728"/>
      <c r="K194" s="146"/>
      <c r="L194" s="145"/>
      <c r="M194" s="682"/>
      <c r="N194" s="116"/>
      <c r="O194" s="116"/>
    </row>
    <row r="195" spans="1:15" ht="33.75" customHeight="1" thickBot="1" x14ac:dyDescent="0.3">
      <c r="A195" s="116"/>
      <c r="B195" s="343" t="s">
        <v>9</v>
      </c>
      <c r="C195" s="344" t="s">
        <v>10</v>
      </c>
      <c r="D195" s="714"/>
      <c r="E195" s="345" t="s">
        <v>13</v>
      </c>
      <c r="F195" s="346" t="s">
        <v>14</v>
      </c>
      <c r="G195" s="347" t="s">
        <v>15</v>
      </c>
      <c r="H195" s="163"/>
      <c r="I195" s="164"/>
      <c r="J195" s="163"/>
      <c r="K195" s="146"/>
      <c r="L195" s="145"/>
      <c r="M195" s="682"/>
      <c r="N195" s="116"/>
      <c r="O195" s="116"/>
    </row>
    <row r="196" spans="1:15" ht="26.25" customHeight="1" thickBot="1" x14ac:dyDescent="0.3">
      <c r="A196" s="116"/>
      <c r="B196" s="348"/>
      <c r="C196" s="349" t="s">
        <v>8</v>
      </c>
      <c r="D196" s="350" t="s">
        <v>7</v>
      </c>
      <c r="E196" s="351" t="s">
        <v>565</v>
      </c>
      <c r="F196" s="352" t="s">
        <v>565</v>
      </c>
      <c r="G196" s="351" t="s">
        <v>566</v>
      </c>
      <c r="H196" s="165"/>
      <c r="I196" s="146"/>
      <c r="J196" s="165"/>
      <c r="K196" s="146"/>
      <c r="L196" s="145"/>
      <c r="M196" s="682"/>
      <c r="N196" s="116"/>
      <c r="O196" s="116"/>
    </row>
    <row r="197" spans="1:15" ht="12.75" customHeight="1" x14ac:dyDescent="0.25">
      <c r="A197" s="116"/>
      <c r="B197" s="718" t="s">
        <v>35</v>
      </c>
      <c r="C197" s="719"/>
      <c r="D197" s="708">
        <v>7.96</v>
      </c>
      <c r="E197" s="708">
        <f>E199</f>
        <v>12.5</v>
      </c>
      <c r="F197" s="708">
        <f>(E197+E199)/2</f>
        <v>12.5</v>
      </c>
      <c r="G197" s="709">
        <f>F197*D197</f>
        <v>99.5</v>
      </c>
      <c r="H197" s="146"/>
      <c r="I197" s="145"/>
      <c r="J197" s="145"/>
      <c r="K197" s="146"/>
      <c r="L197" s="145"/>
      <c r="M197" s="682"/>
      <c r="N197" s="116"/>
      <c r="O197" s="116"/>
    </row>
    <row r="198" spans="1:15" ht="12.75" customHeight="1" x14ac:dyDescent="0.25">
      <c r="A198" s="116"/>
      <c r="B198" s="691"/>
      <c r="C198" s="720"/>
      <c r="D198" s="683"/>
      <c r="E198" s="683"/>
      <c r="F198" s="683"/>
      <c r="G198" s="710"/>
      <c r="H198" s="146"/>
      <c r="I198" s="145"/>
      <c r="J198" s="145"/>
      <c r="K198" s="146"/>
      <c r="L198" s="145"/>
      <c r="M198" s="682"/>
      <c r="N198" s="116"/>
      <c r="O198" s="116"/>
    </row>
    <row r="199" spans="1:15" ht="12.75" customHeight="1" x14ac:dyDescent="0.25">
      <c r="A199" s="116"/>
      <c r="B199" s="691" t="s">
        <v>50</v>
      </c>
      <c r="C199" s="720"/>
      <c r="D199" s="683"/>
      <c r="E199" s="683">
        <v>12.5</v>
      </c>
      <c r="F199" s="683"/>
      <c r="G199" s="710"/>
      <c r="H199" s="146"/>
      <c r="I199" s="145"/>
      <c r="J199" s="705"/>
      <c r="K199" s="146"/>
      <c r="L199" s="145"/>
      <c r="M199" s="682"/>
      <c r="N199" s="116"/>
      <c r="O199" s="116"/>
    </row>
    <row r="200" spans="1:15" ht="12.75" customHeight="1" x14ac:dyDescent="0.25">
      <c r="A200" s="116"/>
      <c r="B200" s="691"/>
      <c r="C200" s="720"/>
      <c r="D200" s="683">
        <v>10</v>
      </c>
      <c r="E200" s="683"/>
      <c r="F200" s="683">
        <f>(E199+E201)/2</f>
        <v>12.75</v>
      </c>
      <c r="G200" s="693">
        <f>F200*D200</f>
        <v>127.5</v>
      </c>
      <c r="H200" s="146"/>
      <c r="I200" s="145"/>
      <c r="J200" s="705"/>
      <c r="K200" s="146"/>
      <c r="L200" s="145"/>
      <c r="M200" s="682"/>
      <c r="N200" s="116"/>
      <c r="O200" s="116"/>
    </row>
    <row r="201" spans="1:15" ht="12.75" customHeight="1" x14ac:dyDescent="0.25">
      <c r="A201" s="116"/>
      <c r="B201" s="691" t="s">
        <v>49</v>
      </c>
      <c r="C201" s="720"/>
      <c r="D201" s="683"/>
      <c r="E201" s="683">
        <v>13</v>
      </c>
      <c r="F201" s="683"/>
      <c r="G201" s="694"/>
      <c r="H201" s="146"/>
      <c r="I201" s="145"/>
      <c r="J201" s="705"/>
      <c r="K201" s="146"/>
      <c r="L201" s="145"/>
      <c r="M201" s="682"/>
      <c r="N201" s="116"/>
      <c r="O201" s="116"/>
    </row>
    <row r="202" spans="1:15" ht="12.75" customHeight="1" x14ac:dyDescent="0.25">
      <c r="A202" s="116"/>
      <c r="B202" s="691"/>
      <c r="C202" s="720"/>
      <c r="D202" s="683">
        <v>6.7</v>
      </c>
      <c r="E202" s="683"/>
      <c r="F202" s="683">
        <f>(E201+E203)/2</f>
        <v>12.9</v>
      </c>
      <c r="G202" s="693">
        <f>F202*D202</f>
        <v>86.43</v>
      </c>
      <c r="H202" s="146"/>
      <c r="I202" s="145"/>
      <c r="J202" s="705"/>
      <c r="K202" s="146"/>
      <c r="L202" s="145"/>
      <c r="M202" s="682"/>
      <c r="N202" s="116"/>
      <c r="O202" s="116"/>
    </row>
    <row r="203" spans="1:15" ht="12.75" customHeight="1" x14ac:dyDescent="0.25">
      <c r="A203" s="116"/>
      <c r="B203" s="691" t="s">
        <v>48</v>
      </c>
      <c r="C203" s="720"/>
      <c r="D203" s="683"/>
      <c r="E203" s="683">
        <v>12.8</v>
      </c>
      <c r="F203" s="683"/>
      <c r="G203" s="694"/>
      <c r="H203" s="146"/>
      <c r="I203" s="145"/>
      <c r="J203" s="705"/>
      <c r="K203" s="146"/>
      <c r="L203" s="145"/>
      <c r="M203" s="682"/>
      <c r="N203" s="116"/>
      <c r="O203" s="116"/>
    </row>
    <row r="204" spans="1:15" ht="12.75" customHeight="1" x14ac:dyDescent="0.25">
      <c r="A204" s="116"/>
      <c r="B204" s="691"/>
      <c r="C204" s="720"/>
      <c r="D204" s="683">
        <v>17.3</v>
      </c>
      <c r="E204" s="683"/>
      <c r="F204" s="683">
        <f>(E203+E205)/2</f>
        <v>11.15</v>
      </c>
      <c r="G204" s="693">
        <f>F204*D204</f>
        <v>192.89500000000001</v>
      </c>
      <c r="H204" s="146"/>
      <c r="I204" s="145"/>
      <c r="J204" s="705"/>
      <c r="K204" s="146"/>
      <c r="L204" s="145"/>
      <c r="M204" s="682"/>
      <c r="N204" s="116"/>
      <c r="O204" s="116"/>
    </row>
    <row r="205" spans="1:15" ht="12.75" customHeight="1" x14ac:dyDescent="0.25">
      <c r="A205" s="116"/>
      <c r="B205" s="691" t="s">
        <v>47</v>
      </c>
      <c r="C205" s="692"/>
      <c r="D205" s="683"/>
      <c r="E205" s="683">
        <v>9.5</v>
      </c>
      <c r="F205" s="683"/>
      <c r="G205" s="694"/>
      <c r="H205" s="146"/>
      <c r="I205" s="145"/>
      <c r="J205" s="705"/>
      <c r="K205" s="146"/>
      <c r="L205" s="145"/>
      <c r="M205" s="682"/>
      <c r="N205" s="116"/>
      <c r="O205" s="116"/>
    </row>
    <row r="206" spans="1:15" ht="12.75" customHeight="1" x14ac:dyDescent="0.25">
      <c r="A206" s="116"/>
      <c r="B206" s="691"/>
      <c r="C206" s="692"/>
      <c r="D206" s="683">
        <v>15.3</v>
      </c>
      <c r="E206" s="683"/>
      <c r="F206" s="683">
        <f>(E205+E207)/2</f>
        <v>8.5</v>
      </c>
      <c r="G206" s="693">
        <f>F206*D206</f>
        <v>130.05000000000001</v>
      </c>
      <c r="H206" s="146"/>
      <c r="I206" s="145"/>
      <c r="J206" s="705"/>
      <c r="K206" s="146"/>
      <c r="L206" s="145"/>
      <c r="M206" s="682"/>
      <c r="N206" s="116"/>
      <c r="O206" s="116"/>
    </row>
    <row r="207" spans="1:15" ht="12.75" customHeight="1" x14ac:dyDescent="0.25">
      <c r="A207" s="116"/>
      <c r="B207" s="691" t="s">
        <v>46</v>
      </c>
      <c r="C207" s="692"/>
      <c r="D207" s="683"/>
      <c r="E207" s="683">
        <v>7.5</v>
      </c>
      <c r="F207" s="683"/>
      <c r="G207" s="694"/>
      <c r="H207" s="146"/>
      <c r="I207" s="145"/>
      <c r="J207" s="705"/>
      <c r="K207" s="146"/>
      <c r="L207" s="145"/>
      <c r="M207" s="682"/>
      <c r="N207" s="116"/>
      <c r="O207" s="116"/>
    </row>
    <row r="208" spans="1:15" ht="12.75" customHeight="1" x14ac:dyDescent="0.25">
      <c r="A208" s="116"/>
      <c r="B208" s="691"/>
      <c r="C208" s="692"/>
      <c r="D208" s="683">
        <v>12.5</v>
      </c>
      <c r="E208" s="683"/>
      <c r="F208" s="683">
        <f>(E207+E209)/2</f>
        <v>8.75</v>
      </c>
      <c r="G208" s="693">
        <f>F208*D208</f>
        <v>109.375</v>
      </c>
      <c r="H208" s="146"/>
      <c r="I208" s="145"/>
      <c r="J208" s="705"/>
      <c r="K208" s="146"/>
      <c r="L208" s="145"/>
      <c r="M208" s="682"/>
      <c r="N208" s="116"/>
      <c r="O208" s="116"/>
    </row>
    <row r="209" spans="1:15" ht="12.75" customHeight="1" x14ac:dyDescent="0.25">
      <c r="A209" s="116"/>
      <c r="B209" s="691" t="s">
        <v>45</v>
      </c>
      <c r="C209" s="692"/>
      <c r="D209" s="683"/>
      <c r="E209" s="683">
        <v>10</v>
      </c>
      <c r="F209" s="683"/>
      <c r="G209" s="694"/>
      <c r="H209" s="146"/>
      <c r="I209" s="145"/>
      <c r="J209" s="705"/>
      <c r="K209" s="146"/>
      <c r="L209" s="145"/>
      <c r="M209" s="682"/>
      <c r="N209" s="116"/>
      <c r="O209" s="116"/>
    </row>
    <row r="210" spans="1:15" ht="12.75" customHeight="1" x14ac:dyDescent="0.25">
      <c r="A210" s="116"/>
      <c r="B210" s="691"/>
      <c r="C210" s="692"/>
      <c r="D210" s="683">
        <v>7.8</v>
      </c>
      <c r="E210" s="683"/>
      <c r="F210" s="683">
        <f>(E209+E211)/2</f>
        <v>10.125</v>
      </c>
      <c r="G210" s="693">
        <f>F210*D210</f>
        <v>78.974999999999994</v>
      </c>
      <c r="H210" s="146"/>
      <c r="I210" s="145"/>
      <c r="J210" s="705"/>
      <c r="K210" s="146"/>
      <c r="L210" s="145"/>
      <c r="M210" s="682"/>
      <c r="N210" s="116"/>
      <c r="O210" s="116"/>
    </row>
    <row r="211" spans="1:15" ht="12.75" customHeight="1" x14ac:dyDescent="0.25">
      <c r="A211" s="116"/>
      <c r="B211" s="691" t="s">
        <v>43</v>
      </c>
      <c r="C211" s="692"/>
      <c r="D211" s="683"/>
      <c r="E211" s="683">
        <v>10.25</v>
      </c>
      <c r="F211" s="683"/>
      <c r="G211" s="694"/>
      <c r="H211" s="146"/>
      <c r="I211" s="145"/>
      <c r="J211" s="705"/>
      <c r="K211" s="146"/>
      <c r="L211" s="145"/>
      <c r="M211" s="682"/>
      <c r="N211" s="116"/>
      <c r="O211" s="116"/>
    </row>
    <row r="212" spans="1:15" ht="12.75" customHeight="1" thickBot="1" x14ac:dyDescent="0.3">
      <c r="A212" s="116"/>
      <c r="B212" s="695"/>
      <c r="C212" s="696"/>
      <c r="D212" s="252"/>
      <c r="E212" s="697"/>
      <c r="F212" s="252"/>
      <c r="G212" s="353"/>
      <c r="H212" s="146"/>
      <c r="I212" s="145"/>
      <c r="J212" s="705"/>
      <c r="K212" s="146"/>
      <c r="L212" s="145"/>
      <c r="M212" s="682"/>
      <c r="N212" s="116"/>
      <c r="O212" s="116"/>
    </row>
    <row r="213" spans="1:15" ht="12.75" customHeight="1" thickBot="1" x14ac:dyDescent="0.3">
      <c r="A213" s="116"/>
      <c r="B213" s="327" t="s">
        <v>59</v>
      </c>
      <c r="C213" s="354"/>
      <c r="D213" s="355">
        <f>SUM(D197:D211)</f>
        <v>77.56</v>
      </c>
      <c r="E213" s="283"/>
      <c r="F213" s="289"/>
      <c r="G213" s="356">
        <f>SUM(G197:G211)</f>
        <v>824.72500000000002</v>
      </c>
      <c r="H213" s="146"/>
      <c r="I213" s="145"/>
      <c r="J213" s="705"/>
      <c r="K213" s="146"/>
      <c r="L213" s="145"/>
      <c r="M213" s="682"/>
      <c r="N213" s="116"/>
      <c r="O213" s="116"/>
    </row>
    <row r="214" spans="1:15" ht="12.75" customHeight="1" x14ac:dyDescent="0.25">
      <c r="A214" s="116"/>
      <c r="B214" s="167"/>
      <c r="C214" s="168"/>
      <c r="D214" s="146"/>
      <c r="E214" s="157"/>
      <c r="F214" s="158"/>
      <c r="G214" s="157"/>
      <c r="H214" s="146"/>
      <c r="I214" s="145"/>
      <c r="J214" s="146"/>
      <c r="K214" s="146"/>
      <c r="L214" s="145"/>
      <c r="M214" s="682"/>
      <c r="N214" s="116"/>
      <c r="O214" s="116"/>
    </row>
    <row r="215" spans="1:15" ht="12.75" customHeight="1" x14ac:dyDescent="0.25">
      <c r="A215" s="116"/>
      <c r="B215" s="711" t="s">
        <v>445</v>
      </c>
      <c r="C215" s="711"/>
      <c r="D215" s="711"/>
      <c r="E215" s="711"/>
      <c r="F215" s="711"/>
      <c r="G215" s="711"/>
      <c r="H215" s="146"/>
      <c r="I215" s="145"/>
      <c r="J215" s="146"/>
      <c r="K215" s="146"/>
      <c r="L215" s="145"/>
      <c r="M215" s="682"/>
      <c r="N215" s="116"/>
      <c r="O215" s="116"/>
    </row>
    <row r="216" spans="1:15" ht="12.75" customHeight="1" x14ac:dyDescent="0.25">
      <c r="A216" s="116"/>
      <c r="B216" s="357"/>
      <c r="C216" s="357"/>
      <c r="D216" s="357"/>
      <c r="E216" s="357"/>
      <c r="F216" s="357"/>
      <c r="G216" s="357"/>
      <c r="H216" s="166"/>
      <c r="I216" s="145"/>
      <c r="J216" s="166"/>
      <c r="K216" s="166"/>
      <c r="L216" s="145"/>
      <c r="M216" s="682"/>
      <c r="N216" s="116"/>
      <c r="O216" s="116"/>
    </row>
    <row r="217" spans="1:15" ht="12.75" customHeight="1" x14ac:dyDescent="0.25">
      <c r="A217" s="116"/>
      <c r="B217" s="10" t="s">
        <v>595</v>
      </c>
      <c r="C217" s="357" t="s">
        <v>596</v>
      </c>
      <c r="D217" s="357"/>
      <c r="E217" s="357"/>
      <c r="F217" s="357"/>
      <c r="G217" s="357"/>
      <c r="H217" s="166"/>
      <c r="I217" s="145"/>
      <c r="J217" s="166"/>
      <c r="K217" s="166"/>
      <c r="L217" s="145"/>
      <c r="M217" s="682"/>
      <c r="N217" s="116"/>
      <c r="O217" s="116"/>
    </row>
    <row r="218" spans="1:15" ht="12.75" customHeight="1" x14ac:dyDescent="0.25">
      <c r="A218" s="116"/>
      <c r="B218" s="359" t="s">
        <v>597</v>
      </c>
      <c r="C218" s="357" t="s">
        <v>598</v>
      </c>
      <c r="D218" s="357"/>
      <c r="E218" s="357"/>
      <c r="F218" s="357"/>
      <c r="G218" s="357"/>
      <c r="H218" s="166"/>
      <c r="I218" s="145"/>
      <c r="J218" s="166"/>
      <c r="K218" s="166"/>
      <c r="L218" s="145"/>
      <c r="M218" s="682"/>
      <c r="N218" s="116"/>
      <c r="O218" s="116"/>
    </row>
    <row r="219" spans="1:15" ht="12.75" customHeight="1" x14ac:dyDescent="0.25">
      <c r="A219" s="116"/>
      <c r="B219" s="361" t="s">
        <v>192</v>
      </c>
      <c r="C219" s="342"/>
      <c r="D219" s="342">
        <v>4.8</v>
      </c>
      <c r="E219" s="342" t="s">
        <v>23</v>
      </c>
      <c r="F219" s="357"/>
      <c r="G219" s="357"/>
      <c r="H219" s="166"/>
      <c r="I219" s="145"/>
      <c r="J219" s="166"/>
      <c r="K219" s="166"/>
      <c r="L219" s="145"/>
      <c r="M219" s="682"/>
      <c r="N219" s="116"/>
      <c r="O219" s="116"/>
    </row>
    <row r="220" spans="1:15" ht="12.75" customHeight="1" x14ac:dyDescent="0.25">
      <c r="A220" s="116"/>
      <c r="B220" s="362" t="s">
        <v>600</v>
      </c>
      <c r="C220" s="363"/>
      <c r="D220" s="363">
        <v>1</v>
      </c>
      <c r="E220" s="363" t="s">
        <v>7</v>
      </c>
      <c r="F220" s="357"/>
      <c r="G220" s="357"/>
      <c r="H220" s="166"/>
      <c r="I220" s="145"/>
      <c r="J220" s="166"/>
      <c r="K220" s="166"/>
      <c r="L220" s="145"/>
      <c r="M220" s="682"/>
      <c r="N220" s="116"/>
      <c r="O220" s="116"/>
    </row>
    <row r="221" spans="1:15" ht="12.75" customHeight="1" x14ac:dyDescent="0.25">
      <c r="A221" s="116"/>
      <c r="B221" s="359" t="s">
        <v>22</v>
      </c>
      <c r="C221" s="357"/>
      <c r="D221" s="357"/>
      <c r="E221" s="357"/>
      <c r="F221" s="357">
        <f>D219*D220</f>
        <v>4.8</v>
      </c>
      <c r="G221" s="357" t="s">
        <v>24</v>
      </c>
      <c r="H221" s="166"/>
      <c r="I221" s="145"/>
      <c r="J221" s="166"/>
      <c r="K221" s="166"/>
      <c r="L221" s="145"/>
      <c r="M221" s="682"/>
      <c r="N221" s="116"/>
      <c r="O221" s="116"/>
    </row>
    <row r="222" spans="1:15" ht="12.75" customHeight="1" x14ac:dyDescent="0.25">
      <c r="A222" s="116"/>
      <c r="B222" s="359"/>
      <c r="C222" s="357"/>
      <c r="D222" s="357"/>
      <c r="E222" s="357"/>
      <c r="F222" s="357"/>
      <c r="G222" s="357"/>
      <c r="H222" s="166"/>
      <c r="I222" s="145"/>
      <c r="J222" s="166"/>
      <c r="K222" s="166"/>
      <c r="L222" s="145"/>
      <c r="M222" s="682"/>
      <c r="N222" s="116"/>
      <c r="O222" s="116"/>
    </row>
    <row r="223" spans="1:15" ht="12.75" customHeight="1" x14ac:dyDescent="0.25">
      <c r="A223" s="116"/>
      <c r="B223" s="359" t="s">
        <v>599</v>
      </c>
      <c r="C223" s="357" t="s">
        <v>751</v>
      </c>
      <c r="D223" s="357"/>
      <c r="E223" s="357"/>
      <c r="F223" s="357"/>
      <c r="G223" s="357"/>
      <c r="H223" s="166"/>
      <c r="I223" s="145"/>
      <c r="J223" s="166"/>
      <c r="K223" s="166"/>
      <c r="L223" s="145"/>
      <c r="M223" s="682"/>
      <c r="N223" s="116"/>
      <c r="O223" s="116"/>
    </row>
    <row r="224" spans="1:15" ht="12.75" customHeight="1" x14ac:dyDescent="0.25">
      <c r="A224" s="116"/>
      <c r="B224" s="367" t="s">
        <v>601</v>
      </c>
      <c r="C224" s="357"/>
      <c r="D224" s="357"/>
      <c r="E224" s="357"/>
      <c r="F224" s="357"/>
      <c r="G224" s="357"/>
      <c r="H224" s="166"/>
      <c r="I224" s="145"/>
      <c r="J224" s="166"/>
      <c r="K224" s="166"/>
      <c r="L224" s="145"/>
      <c r="M224" s="682"/>
      <c r="N224" s="116"/>
      <c r="O224" s="116"/>
    </row>
    <row r="225" spans="1:15" ht="12.75" customHeight="1" x14ac:dyDescent="0.25">
      <c r="A225" s="116"/>
      <c r="B225" s="366" t="s">
        <v>192</v>
      </c>
      <c r="C225" s="342"/>
      <c r="D225" s="342">
        <v>1.5</v>
      </c>
      <c r="E225" s="342" t="s">
        <v>23</v>
      </c>
      <c r="F225" s="357"/>
      <c r="G225" s="357"/>
      <c r="H225" s="166"/>
      <c r="I225" s="145"/>
      <c r="J225" s="166"/>
      <c r="K225" s="166"/>
      <c r="L225" s="145"/>
      <c r="M225" s="682"/>
      <c r="N225" s="116"/>
      <c r="O225" s="116"/>
    </row>
    <row r="226" spans="1:15" ht="12.75" customHeight="1" x14ac:dyDescent="0.25">
      <c r="A226" s="116"/>
      <c r="B226" s="362" t="s">
        <v>600</v>
      </c>
      <c r="C226" s="363"/>
      <c r="D226" s="363">
        <v>8</v>
      </c>
      <c r="E226" s="363" t="s">
        <v>7</v>
      </c>
      <c r="F226" s="357"/>
      <c r="G226" s="357"/>
      <c r="H226" s="166"/>
      <c r="I226" s="145"/>
      <c r="J226" s="166"/>
      <c r="K226" s="166"/>
      <c r="L226" s="145"/>
      <c r="M226" s="682"/>
      <c r="N226" s="116"/>
      <c r="O226" s="116"/>
    </row>
    <row r="227" spans="1:15" ht="12.75" customHeight="1" x14ac:dyDescent="0.25">
      <c r="A227" s="116"/>
      <c r="B227" s="364" t="s">
        <v>22</v>
      </c>
      <c r="C227" s="365"/>
      <c r="D227" s="365"/>
      <c r="E227" s="365"/>
      <c r="F227" s="357">
        <f>D225*D226</f>
        <v>12</v>
      </c>
      <c r="G227" s="357" t="s">
        <v>24</v>
      </c>
      <c r="H227" s="166"/>
      <c r="I227" s="145"/>
      <c r="J227" s="166"/>
      <c r="K227" s="166"/>
      <c r="L227" s="145"/>
      <c r="M227" s="682"/>
      <c r="N227" s="116"/>
      <c r="O227" s="116"/>
    </row>
    <row r="228" spans="1:15" ht="12.75" customHeight="1" x14ac:dyDescent="0.25">
      <c r="A228" s="116"/>
      <c r="B228" s="359"/>
      <c r="C228" s="357"/>
      <c r="D228" s="357"/>
      <c r="E228" s="357"/>
      <c r="F228" s="357"/>
      <c r="G228" s="357"/>
      <c r="H228" s="166"/>
      <c r="I228" s="145"/>
      <c r="J228" s="166"/>
      <c r="K228" s="166"/>
      <c r="L228" s="145"/>
      <c r="M228" s="682"/>
      <c r="N228" s="116"/>
      <c r="O228" s="116"/>
    </row>
    <row r="229" spans="1:15" ht="12.75" customHeight="1" x14ac:dyDescent="0.25">
      <c r="A229" s="116"/>
      <c r="B229" s="364" t="s">
        <v>605</v>
      </c>
      <c r="C229" s="125"/>
      <c r="D229" s="364" t="s">
        <v>602</v>
      </c>
      <c r="E229" s="365" t="s">
        <v>603</v>
      </c>
      <c r="F229" s="365">
        <f>1.5*2*2</f>
        <v>6</v>
      </c>
      <c r="G229" s="365" t="s">
        <v>24</v>
      </c>
      <c r="H229" s="166"/>
      <c r="I229" s="145"/>
      <c r="J229" s="166"/>
      <c r="K229" s="166"/>
      <c r="L229" s="145"/>
      <c r="M229" s="682"/>
      <c r="N229" s="116"/>
      <c r="O229" s="116"/>
    </row>
    <row r="230" spans="1:15" ht="12.75" customHeight="1" x14ac:dyDescent="0.25">
      <c r="A230" s="116"/>
      <c r="B230" s="357" t="s">
        <v>752</v>
      </c>
      <c r="C230" s="359"/>
      <c r="D230" s="357"/>
      <c r="E230" s="357"/>
      <c r="F230" s="357">
        <f>SUM(F221:F229)</f>
        <v>22.8</v>
      </c>
      <c r="G230" s="357" t="s">
        <v>24</v>
      </c>
      <c r="H230" s="166"/>
      <c r="I230" s="145"/>
      <c r="J230" s="166"/>
      <c r="K230" s="166"/>
      <c r="L230" s="145"/>
      <c r="M230" s="682"/>
      <c r="N230" s="116"/>
      <c r="O230" s="116"/>
    </row>
    <row r="231" spans="1:15" ht="12.75" customHeight="1" x14ac:dyDescent="0.25">
      <c r="A231" s="116"/>
      <c r="B231" s="169"/>
      <c r="C231" s="116"/>
      <c r="D231" s="145"/>
      <c r="E231" s="146"/>
      <c r="F231" s="145"/>
      <c r="G231" s="145"/>
      <c r="H231" s="146"/>
      <c r="I231" s="145"/>
      <c r="J231" s="146"/>
      <c r="K231" s="146"/>
      <c r="L231" s="145"/>
      <c r="M231" s="682"/>
      <c r="N231" s="116"/>
      <c r="O231" s="116"/>
    </row>
    <row r="232" spans="1:15" ht="12.75" customHeight="1" x14ac:dyDescent="0.25">
      <c r="A232" s="116"/>
      <c r="B232" s="10" t="s">
        <v>80</v>
      </c>
      <c r="C232" s="290" t="s">
        <v>131</v>
      </c>
      <c r="D232" s="12"/>
      <c r="E232" s="285"/>
      <c r="F232" s="324"/>
      <c r="G232" s="324"/>
      <c r="H232" s="146"/>
      <c r="I232" s="145"/>
      <c r="J232" s="145"/>
      <c r="K232" s="146"/>
      <c r="L232" s="145"/>
      <c r="M232" s="682"/>
      <c r="N232" s="116"/>
      <c r="O232" s="116"/>
    </row>
    <row r="233" spans="1:15" ht="12.75" customHeight="1" thickBot="1" x14ac:dyDescent="0.3">
      <c r="A233" s="116"/>
      <c r="B233" s="368" t="s">
        <v>606</v>
      </c>
      <c r="C233" s="11"/>
      <c r="D233" s="5"/>
      <c r="E233" s="12"/>
      <c r="F233" s="369" t="s">
        <v>82</v>
      </c>
      <c r="G233" s="12"/>
      <c r="H233" s="145"/>
      <c r="I233" s="145"/>
      <c r="J233" s="145"/>
      <c r="K233" s="146"/>
      <c r="L233" s="145"/>
      <c r="M233" s="682"/>
      <c r="N233" s="116"/>
      <c r="O233" s="116"/>
    </row>
    <row r="234" spans="1:15" ht="12.75" customHeight="1" x14ac:dyDescent="0.25">
      <c r="A234" s="116"/>
      <c r="B234" s="684" t="s">
        <v>12</v>
      </c>
      <c r="C234" s="685"/>
      <c r="D234" s="712" t="s">
        <v>11</v>
      </c>
      <c r="E234" s="729" t="s">
        <v>132</v>
      </c>
      <c r="F234" s="730"/>
      <c r="G234" s="731"/>
      <c r="H234" s="145"/>
      <c r="I234" s="145"/>
      <c r="J234" s="145"/>
      <c r="K234" s="146"/>
      <c r="L234" s="145"/>
      <c r="M234" s="682"/>
      <c r="N234" s="116"/>
      <c r="O234" s="116"/>
    </row>
    <row r="235" spans="1:15" ht="12.75" customHeight="1" thickBot="1" x14ac:dyDescent="0.3">
      <c r="A235" s="116"/>
      <c r="B235" s="686"/>
      <c r="C235" s="687"/>
      <c r="D235" s="713"/>
      <c r="E235" s="715" t="s">
        <v>81</v>
      </c>
      <c r="F235" s="716"/>
      <c r="G235" s="717"/>
      <c r="H235" s="145"/>
      <c r="I235" s="145"/>
      <c r="J235" s="145"/>
      <c r="K235" s="146"/>
      <c r="L235" s="145"/>
      <c r="M235" s="682"/>
      <c r="N235" s="116"/>
      <c r="O235" s="116"/>
    </row>
    <row r="236" spans="1:15" ht="29.25" customHeight="1" thickBot="1" x14ac:dyDescent="0.3">
      <c r="A236" s="116"/>
      <c r="B236" s="343" t="s">
        <v>9</v>
      </c>
      <c r="C236" s="344" t="s">
        <v>10</v>
      </c>
      <c r="D236" s="714"/>
      <c r="E236" s="345" t="s">
        <v>13</v>
      </c>
      <c r="F236" s="346" t="s">
        <v>14</v>
      </c>
      <c r="G236" s="347" t="s">
        <v>15</v>
      </c>
      <c r="H236" s="145"/>
      <c r="I236" s="145"/>
      <c r="J236" s="145"/>
      <c r="K236" s="146"/>
      <c r="L236" s="145"/>
      <c r="M236" s="682"/>
      <c r="N236" s="116"/>
      <c r="O236" s="116"/>
    </row>
    <row r="237" spans="1:15" ht="12.75" customHeight="1" thickBot="1" x14ac:dyDescent="0.3">
      <c r="A237" s="116"/>
      <c r="B237" s="348"/>
      <c r="C237" s="349" t="s">
        <v>8</v>
      </c>
      <c r="D237" s="350" t="s">
        <v>7</v>
      </c>
      <c r="E237" s="351" t="s">
        <v>565</v>
      </c>
      <c r="F237" s="352" t="s">
        <v>565</v>
      </c>
      <c r="G237" s="351" t="s">
        <v>566</v>
      </c>
      <c r="H237" s="145"/>
      <c r="I237" s="145"/>
      <c r="J237" s="145"/>
      <c r="K237" s="146"/>
      <c r="L237" s="145"/>
      <c r="M237" s="682"/>
      <c r="N237" s="116"/>
      <c r="O237" s="116"/>
    </row>
    <row r="238" spans="1:15" ht="12.75" customHeight="1" x14ac:dyDescent="0.25">
      <c r="A238" s="116"/>
      <c r="B238" s="718" t="s">
        <v>35</v>
      </c>
      <c r="C238" s="719"/>
      <c r="D238" s="708">
        <v>7.96</v>
      </c>
      <c r="E238" s="708">
        <f>E240</f>
        <v>2.7</v>
      </c>
      <c r="F238" s="708">
        <f>(E238+E240)/2</f>
        <v>2.7</v>
      </c>
      <c r="G238" s="709">
        <f>F238*D238</f>
        <v>21.492000000000001</v>
      </c>
      <c r="H238" s="145"/>
      <c r="I238" s="145"/>
      <c r="J238" s="145"/>
      <c r="K238" s="146"/>
      <c r="L238" s="145"/>
      <c r="M238" s="682"/>
      <c r="N238" s="116"/>
      <c r="O238" s="116"/>
    </row>
    <row r="239" spans="1:15" ht="12.75" customHeight="1" x14ac:dyDescent="0.25">
      <c r="A239" s="116"/>
      <c r="B239" s="691"/>
      <c r="C239" s="720"/>
      <c r="D239" s="683"/>
      <c r="E239" s="683"/>
      <c r="F239" s="683"/>
      <c r="G239" s="710"/>
      <c r="H239" s="145"/>
      <c r="I239" s="145"/>
      <c r="J239" s="145"/>
      <c r="K239" s="146"/>
      <c r="L239" s="145"/>
      <c r="M239" s="682"/>
      <c r="N239" s="116"/>
      <c r="O239" s="116"/>
    </row>
    <row r="240" spans="1:15" ht="12.75" customHeight="1" x14ac:dyDescent="0.25">
      <c r="A240" s="116"/>
      <c r="B240" s="691" t="s">
        <v>50</v>
      </c>
      <c r="C240" s="720"/>
      <c r="D240" s="683"/>
      <c r="E240" s="683">
        <v>2.7</v>
      </c>
      <c r="F240" s="683"/>
      <c r="G240" s="710"/>
      <c r="H240" s="145"/>
      <c r="I240" s="145"/>
      <c r="J240" s="145"/>
      <c r="K240" s="146"/>
      <c r="L240" s="145"/>
      <c r="M240" s="682"/>
      <c r="N240" s="116"/>
      <c r="O240" s="116"/>
    </row>
    <row r="241" spans="1:15" ht="12.75" customHeight="1" x14ac:dyDescent="0.25">
      <c r="A241" s="116"/>
      <c r="B241" s="691"/>
      <c r="C241" s="720"/>
      <c r="D241" s="683">
        <v>10</v>
      </c>
      <c r="E241" s="683"/>
      <c r="F241" s="683">
        <f>(E240+E242)/2</f>
        <v>2.4000000000000004</v>
      </c>
      <c r="G241" s="693">
        <f>F241*D241</f>
        <v>24.000000000000004</v>
      </c>
      <c r="H241" s="145"/>
      <c r="I241" s="145"/>
      <c r="J241" s="145"/>
      <c r="K241" s="146"/>
      <c r="L241" s="145"/>
      <c r="M241" s="682"/>
      <c r="N241" s="116"/>
      <c r="O241" s="116"/>
    </row>
    <row r="242" spans="1:15" ht="12.75" customHeight="1" x14ac:dyDescent="0.25">
      <c r="A242" s="116"/>
      <c r="B242" s="691" t="s">
        <v>49</v>
      </c>
      <c r="C242" s="720"/>
      <c r="D242" s="683"/>
      <c r="E242" s="683">
        <v>2.1</v>
      </c>
      <c r="F242" s="683"/>
      <c r="G242" s="694"/>
      <c r="H242" s="145"/>
      <c r="I242" s="145"/>
      <c r="J242" s="145"/>
      <c r="K242" s="146"/>
      <c r="L242" s="145"/>
      <c r="M242" s="682"/>
      <c r="N242" s="116"/>
      <c r="O242" s="116"/>
    </row>
    <row r="243" spans="1:15" ht="12.75" customHeight="1" x14ac:dyDescent="0.25">
      <c r="A243" s="116"/>
      <c r="B243" s="691"/>
      <c r="C243" s="720"/>
      <c r="D243" s="683">
        <v>6.7</v>
      </c>
      <c r="E243" s="683"/>
      <c r="F243" s="683">
        <f>(E242+E244)/2</f>
        <v>2.2999999999999998</v>
      </c>
      <c r="G243" s="693">
        <f>F243*D243</f>
        <v>15.409999999999998</v>
      </c>
      <c r="H243" s="145"/>
      <c r="I243" s="145"/>
      <c r="J243" s="145"/>
      <c r="K243" s="146"/>
      <c r="L243" s="145"/>
      <c r="M243" s="682"/>
      <c r="N243" s="116"/>
      <c r="O243" s="116"/>
    </row>
    <row r="244" spans="1:15" ht="12.75" customHeight="1" x14ac:dyDescent="0.25">
      <c r="A244" s="116"/>
      <c r="B244" s="691" t="s">
        <v>48</v>
      </c>
      <c r="C244" s="720"/>
      <c r="D244" s="683"/>
      <c r="E244" s="683">
        <v>2.5</v>
      </c>
      <c r="F244" s="683"/>
      <c r="G244" s="694"/>
      <c r="H244" s="145"/>
      <c r="I244" s="145"/>
      <c r="J244" s="145"/>
      <c r="K244" s="146"/>
      <c r="L244" s="145"/>
      <c r="M244" s="682"/>
      <c r="N244" s="116"/>
      <c r="O244" s="116"/>
    </row>
    <row r="245" spans="1:15" ht="12.75" customHeight="1" x14ac:dyDescent="0.25">
      <c r="A245" s="116"/>
      <c r="B245" s="691"/>
      <c r="C245" s="720"/>
      <c r="D245" s="683">
        <v>17.3</v>
      </c>
      <c r="E245" s="683"/>
      <c r="F245" s="683">
        <f>(E244+E246)/2</f>
        <v>2.5</v>
      </c>
      <c r="G245" s="693">
        <f>F245*D245</f>
        <v>43.25</v>
      </c>
      <c r="H245" s="145"/>
      <c r="I245" s="145"/>
      <c r="J245" s="145"/>
      <c r="K245" s="146"/>
      <c r="L245" s="145"/>
      <c r="M245" s="682"/>
      <c r="N245" s="116"/>
      <c r="O245" s="116"/>
    </row>
    <row r="246" spans="1:15" ht="12.75" customHeight="1" x14ac:dyDescent="0.25">
      <c r="A246" s="116"/>
      <c r="B246" s="691" t="s">
        <v>47</v>
      </c>
      <c r="C246" s="692"/>
      <c r="D246" s="683"/>
      <c r="E246" s="683">
        <v>2.5</v>
      </c>
      <c r="F246" s="683"/>
      <c r="G246" s="694"/>
      <c r="H246" s="145"/>
      <c r="I246" s="145"/>
      <c r="J246" s="145"/>
      <c r="K246" s="146"/>
      <c r="L246" s="145"/>
      <c r="M246" s="682"/>
      <c r="N246" s="116"/>
      <c r="O246" s="116"/>
    </row>
    <row r="247" spans="1:15" ht="12.75" customHeight="1" x14ac:dyDescent="0.25">
      <c r="A247" s="116"/>
      <c r="B247" s="691"/>
      <c r="C247" s="692"/>
      <c r="D247" s="683">
        <v>15.3</v>
      </c>
      <c r="E247" s="683"/>
      <c r="F247" s="683">
        <f>(E246+E248)/2</f>
        <v>2</v>
      </c>
      <c r="G247" s="693">
        <f>F247*D247</f>
        <v>30.6</v>
      </c>
      <c r="H247" s="145"/>
      <c r="I247" s="145"/>
      <c r="J247" s="145"/>
      <c r="K247" s="146"/>
      <c r="L247" s="145"/>
      <c r="M247" s="682"/>
      <c r="N247" s="116"/>
      <c r="O247" s="116"/>
    </row>
    <row r="248" spans="1:15" ht="12.75" customHeight="1" x14ac:dyDescent="0.25">
      <c r="A248" s="116"/>
      <c r="B248" s="691" t="s">
        <v>46</v>
      </c>
      <c r="C248" s="692"/>
      <c r="D248" s="683"/>
      <c r="E248" s="683">
        <v>1.5</v>
      </c>
      <c r="F248" s="683"/>
      <c r="G248" s="694"/>
      <c r="H248" s="145"/>
      <c r="I248" s="145"/>
      <c r="J248" s="145"/>
      <c r="K248" s="146"/>
      <c r="L248" s="145"/>
      <c r="M248" s="682"/>
      <c r="N248" s="116"/>
      <c r="O248" s="116"/>
    </row>
    <row r="249" spans="1:15" ht="12.75" customHeight="1" x14ac:dyDescent="0.25">
      <c r="A249" s="116"/>
      <c r="B249" s="691"/>
      <c r="C249" s="692"/>
      <c r="D249" s="683">
        <v>12.5</v>
      </c>
      <c r="E249" s="683"/>
      <c r="F249" s="683">
        <f>(E248+E250)/2</f>
        <v>2.1</v>
      </c>
      <c r="G249" s="693">
        <f>F249*D249</f>
        <v>26.25</v>
      </c>
      <c r="H249" s="145"/>
      <c r="I249" s="145"/>
      <c r="J249" s="145"/>
      <c r="K249" s="146"/>
      <c r="L249" s="145"/>
      <c r="M249" s="682"/>
      <c r="N249" s="116"/>
      <c r="O249" s="116"/>
    </row>
    <row r="250" spans="1:15" ht="12.75" customHeight="1" x14ac:dyDescent="0.25">
      <c r="A250" s="116"/>
      <c r="B250" s="691" t="s">
        <v>45</v>
      </c>
      <c r="C250" s="692"/>
      <c r="D250" s="683"/>
      <c r="E250" s="683">
        <v>2.7</v>
      </c>
      <c r="F250" s="683"/>
      <c r="G250" s="694"/>
      <c r="H250" s="145"/>
      <c r="I250" s="145"/>
      <c r="J250" s="145"/>
      <c r="K250" s="146"/>
      <c r="L250" s="145"/>
      <c r="M250" s="682"/>
      <c r="N250" s="116"/>
      <c r="O250" s="116"/>
    </row>
    <row r="251" spans="1:15" ht="12.75" customHeight="1" x14ac:dyDescent="0.25">
      <c r="A251" s="116"/>
      <c r="B251" s="691"/>
      <c r="C251" s="692"/>
      <c r="D251" s="683">
        <v>7.8</v>
      </c>
      <c r="E251" s="683"/>
      <c r="F251" s="683">
        <f>(E250+E252)/2</f>
        <v>2.7</v>
      </c>
      <c r="G251" s="693">
        <f>F251*D251</f>
        <v>21.060000000000002</v>
      </c>
      <c r="H251" s="145"/>
      <c r="I251" s="145"/>
      <c r="J251" s="145"/>
      <c r="K251" s="146"/>
      <c r="L251" s="145"/>
      <c r="M251" s="682"/>
      <c r="N251" s="116"/>
      <c r="O251" s="116"/>
    </row>
    <row r="252" spans="1:15" ht="12.75" customHeight="1" x14ac:dyDescent="0.25">
      <c r="A252" s="116"/>
      <c r="B252" s="691" t="s">
        <v>43</v>
      </c>
      <c r="C252" s="692"/>
      <c r="D252" s="683"/>
      <c r="E252" s="683">
        <f>E250</f>
        <v>2.7</v>
      </c>
      <c r="F252" s="683"/>
      <c r="G252" s="694"/>
      <c r="H252" s="145"/>
      <c r="I252" s="145"/>
      <c r="J252" s="145"/>
      <c r="K252" s="146"/>
      <c r="L252" s="145"/>
      <c r="M252" s="682"/>
      <c r="N252" s="116"/>
      <c r="O252" s="116"/>
    </row>
    <row r="253" spans="1:15" ht="12.75" customHeight="1" thickBot="1" x14ac:dyDescent="0.3">
      <c r="A253" s="116"/>
      <c r="B253" s="695"/>
      <c r="C253" s="696"/>
      <c r="D253" s="252"/>
      <c r="E253" s="697"/>
      <c r="F253" s="252"/>
      <c r="G253" s="353"/>
      <c r="H253" s="145"/>
      <c r="I253" s="145"/>
      <c r="J253" s="145"/>
      <c r="K253" s="146"/>
      <c r="L253" s="145"/>
      <c r="M253" s="682"/>
      <c r="N253" s="116"/>
      <c r="O253" s="116"/>
    </row>
    <row r="254" spans="1:15" ht="12.75" customHeight="1" thickBot="1" x14ac:dyDescent="0.3">
      <c r="A254" s="116"/>
      <c r="B254" s="248" t="s">
        <v>59</v>
      </c>
      <c r="C254" s="354"/>
      <c r="D254" s="355">
        <f>SUM(D238:D252)</f>
        <v>77.56</v>
      </c>
      <c r="E254" s="283"/>
      <c r="F254" s="289"/>
      <c r="G254" s="356">
        <f>SUM(G238:G252)</f>
        <v>182.06200000000001</v>
      </c>
      <c r="H254" s="145"/>
      <c r="I254" s="145"/>
      <c r="J254" s="145"/>
      <c r="K254" s="146"/>
      <c r="L254" s="145"/>
      <c r="M254" s="682"/>
      <c r="N254" s="116"/>
      <c r="O254" s="116"/>
    </row>
    <row r="255" spans="1:15" ht="12.75" customHeight="1" x14ac:dyDescent="0.25">
      <c r="A255" s="116"/>
      <c r="B255" s="145"/>
      <c r="C255" s="170"/>
      <c r="D255" s="145"/>
      <c r="E255" s="145"/>
      <c r="F255" s="170"/>
      <c r="G255" s="145"/>
      <c r="H255" s="145"/>
      <c r="I255" s="145"/>
      <c r="J255" s="145"/>
      <c r="K255" s="146"/>
      <c r="L255" s="145"/>
      <c r="M255" s="682"/>
      <c r="N255" s="116"/>
      <c r="O255" s="116"/>
    </row>
    <row r="256" spans="1:15" ht="12.75" customHeight="1" x14ac:dyDescent="0.25">
      <c r="A256" s="116"/>
      <c r="B256" s="337" t="s">
        <v>128</v>
      </c>
      <c r="C256" s="358"/>
      <c r="D256" s="145"/>
      <c r="E256" s="145"/>
      <c r="F256" s="170"/>
      <c r="G256" s="145"/>
      <c r="H256" s="145"/>
      <c r="I256" s="145"/>
      <c r="J256" s="145"/>
      <c r="K256" s="146"/>
      <c r="L256" s="145"/>
      <c r="M256" s="682"/>
      <c r="N256" s="116"/>
      <c r="O256" s="116"/>
    </row>
    <row r="257" spans="1:15" ht="12.75" customHeight="1" x14ac:dyDescent="0.25">
      <c r="A257" s="99" t="s">
        <v>597</v>
      </c>
      <c r="B257" s="324" t="s">
        <v>87</v>
      </c>
      <c r="C257" s="358"/>
      <c r="D257" s="324"/>
      <c r="E257" s="324"/>
      <c r="F257" s="358"/>
      <c r="G257" s="324"/>
      <c r="H257" s="324"/>
      <c r="I257" s="324"/>
      <c r="J257" s="324"/>
      <c r="K257" s="166"/>
      <c r="L257" s="145"/>
      <c r="M257" s="682"/>
      <c r="N257" s="116"/>
      <c r="O257" s="116"/>
    </row>
    <row r="258" spans="1:15" ht="12.75" customHeight="1" x14ac:dyDescent="0.25">
      <c r="B258" s="324" t="s">
        <v>133</v>
      </c>
      <c r="C258" s="358"/>
      <c r="D258" s="324">
        <v>2.2000000000000002</v>
      </c>
      <c r="E258" s="324" t="s">
        <v>23</v>
      </c>
      <c r="F258" s="358"/>
      <c r="G258" s="324"/>
      <c r="H258" s="324"/>
      <c r="I258" s="324"/>
      <c r="J258" s="324"/>
      <c r="K258" s="146"/>
      <c r="L258" s="145"/>
      <c r="M258" s="682"/>
      <c r="N258" s="116"/>
      <c r="O258" s="116"/>
    </row>
    <row r="259" spans="1:15" ht="12.75" customHeight="1" x14ac:dyDescent="0.25">
      <c r="A259" s="11"/>
      <c r="B259" s="324" t="s">
        <v>134</v>
      </c>
      <c r="C259" s="358"/>
      <c r="D259" s="324">
        <v>15</v>
      </c>
      <c r="E259" s="324" t="s">
        <v>23</v>
      </c>
      <c r="F259" s="358"/>
      <c r="G259" s="324"/>
      <c r="H259" s="324"/>
      <c r="I259" s="324"/>
      <c r="J259" s="324"/>
      <c r="K259" s="146"/>
      <c r="L259" s="145"/>
      <c r="M259" s="682"/>
      <c r="N259" s="116"/>
      <c r="O259" s="116"/>
    </row>
    <row r="260" spans="1:15" ht="12.75" customHeight="1" x14ac:dyDescent="0.25">
      <c r="A260" s="11"/>
      <c r="B260" s="370" t="s">
        <v>30</v>
      </c>
      <c r="C260" s="362"/>
      <c r="D260" s="370">
        <v>1.6</v>
      </c>
      <c r="E260" s="370" t="s">
        <v>7</v>
      </c>
      <c r="F260" s="362"/>
      <c r="G260" s="370"/>
      <c r="H260" s="370"/>
      <c r="I260" s="324"/>
      <c r="J260" s="324"/>
      <c r="K260" s="146"/>
      <c r="L260" s="145"/>
      <c r="M260" s="682"/>
      <c r="N260" s="116"/>
      <c r="O260" s="116"/>
    </row>
    <row r="261" spans="1:15" ht="12.75" customHeight="1" thickBot="1" x14ac:dyDescent="0.3">
      <c r="A261" s="11"/>
      <c r="B261" s="324" t="s">
        <v>22</v>
      </c>
      <c r="C261" s="358"/>
      <c r="D261" s="324"/>
      <c r="E261" s="324"/>
      <c r="F261" s="358"/>
      <c r="G261" s="324">
        <f>(D258+D259)/2*D260</f>
        <v>13.76</v>
      </c>
      <c r="H261" s="324" t="s">
        <v>24</v>
      </c>
      <c r="I261" s="324"/>
      <c r="J261" s="324"/>
      <c r="K261" s="146"/>
      <c r="L261" s="145"/>
      <c r="M261" s="682"/>
      <c r="N261" s="116"/>
      <c r="O261" s="116"/>
    </row>
    <row r="262" spans="1:15" ht="12.75" customHeight="1" thickBot="1" x14ac:dyDescent="0.3">
      <c r="A262" s="116"/>
      <c r="B262" s="371" t="s">
        <v>135</v>
      </c>
      <c r="C262" s="207"/>
      <c r="D262" s="289"/>
      <c r="E262" s="6"/>
      <c r="F262" s="372"/>
      <c r="G262" s="6">
        <f>SUM(G254:G261)</f>
        <v>195.822</v>
      </c>
      <c r="H262" s="373" t="s">
        <v>24</v>
      </c>
      <c r="I262" s="145"/>
      <c r="J262" s="145"/>
      <c r="K262" s="146"/>
      <c r="L262" s="145"/>
      <c r="M262" s="682"/>
      <c r="N262" s="116"/>
      <c r="O262" s="116"/>
    </row>
    <row r="263" spans="1:15" ht="12.75" customHeight="1" x14ac:dyDescent="0.25">
      <c r="A263" s="116"/>
      <c r="B263" s="171"/>
      <c r="C263" s="116"/>
      <c r="E263" s="145"/>
      <c r="F263" s="170"/>
      <c r="G263" s="145"/>
      <c r="H263" s="145"/>
      <c r="I263" s="145"/>
      <c r="J263" s="145"/>
      <c r="K263" s="146"/>
      <c r="L263" s="145"/>
      <c r="M263" s="682"/>
      <c r="N263" s="116"/>
      <c r="O263" s="116"/>
    </row>
    <row r="264" spans="1:15" ht="12.75" customHeight="1" thickBot="1" x14ac:dyDescent="0.3">
      <c r="A264" s="116"/>
      <c r="B264" s="342" t="s">
        <v>88</v>
      </c>
      <c r="C264" s="11"/>
      <c r="D264" s="324"/>
      <c r="E264" s="285"/>
      <c r="F264" s="374" t="s">
        <v>83</v>
      </c>
      <c r="G264" s="51"/>
      <c r="H264" s="146"/>
      <c r="I264" s="145"/>
      <c r="J264" s="145"/>
      <c r="K264" s="146"/>
      <c r="L264" s="145"/>
      <c r="M264" s="682"/>
      <c r="N264" s="116"/>
      <c r="O264" s="116"/>
    </row>
    <row r="265" spans="1:15" ht="12.75" customHeight="1" thickBot="1" x14ac:dyDescent="0.3">
      <c r="A265" s="116"/>
      <c r="B265" s="684" t="s">
        <v>12</v>
      </c>
      <c r="C265" s="685"/>
      <c r="D265" s="688" t="s">
        <v>11</v>
      </c>
      <c r="E265" s="690" t="s">
        <v>85</v>
      </c>
      <c r="F265" s="690"/>
      <c r="G265" s="690"/>
      <c r="H265" s="724"/>
      <c r="I265" s="724"/>
      <c r="J265" s="724"/>
      <c r="K265" s="724"/>
      <c r="L265" s="724"/>
      <c r="M265" s="724"/>
      <c r="N265" s="116"/>
      <c r="O265" s="116"/>
    </row>
    <row r="266" spans="1:15" ht="12.75" customHeight="1" thickBot="1" x14ac:dyDescent="0.3">
      <c r="A266" s="116"/>
      <c r="B266" s="686"/>
      <c r="C266" s="687"/>
      <c r="D266" s="688"/>
      <c r="E266" s="725" t="s">
        <v>84</v>
      </c>
      <c r="F266" s="725"/>
      <c r="G266" s="726"/>
      <c r="H266" s="727"/>
      <c r="I266" s="727"/>
      <c r="J266" s="727"/>
      <c r="K266" s="728"/>
      <c r="L266" s="728"/>
      <c r="M266" s="728"/>
      <c r="N266" s="116"/>
      <c r="O266" s="116"/>
    </row>
    <row r="267" spans="1:15" ht="32.25" customHeight="1" thickBot="1" x14ac:dyDescent="0.3">
      <c r="A267" s="116"/>
      <c r="B267" s="238" t="s">
        <v>9</v>
      </c>
      <c r="C267" s="239" t="s">
        <v>10</v>
      </c>
      <c r="D267" s="689"/>
      <c r="E267" s="240" t="s">
        <v>13</v>
      </c>
      <c r="F267" s="241" t="s">
        <v>14</v>
      </c>
      <c r="G267" s="240" t="s">
        <v>15</v>
      </c>
      <c r="H267" s="163"/>
      <c r="I267" s="164"/>
      <c r="J267" s="163"/>
      <c r="K267" s="163"/>
      <c r="L267" s="164"/>
      <c r="M267" s="562"/>
      <c r="N267" s="116"/>
      <c r="O267" s="116"/>
    </row>
    <row r="268" spans="1:15" ht="12.75" customHeight="1" thickBot="1" x14ac:dyDescent="0.3">
      <c r="A268" s="116"/>
      <c r="B268" s="348"/>
      <c r="C268" s="349" t="s">
        <v>8</v>
      </c>
      <c r="D268" s="343" t="s">
        <v>7</v>
      </c>
      <c r="E268" s="351" t="s">
        <v>565</v>
      </c>
      <c r="F268" s="352" t="s">
        <v>565</v>
      </c>
      <c r="G268" s="351" t="s">
        <v>566</v>
      </c>
      <c r="H268" s="165"/>
      <c r="I268" s="146"/>
      <c r="J268" s="165"/>
      <c r="K268" s="165"/>
      <c r="L268" s="146"/>
      <c r="M268" s="502"/>
      <c r="N268" s="116"/>
      <c r="O268" s="116"/>
    </row>
    <row r="269" spans="1:15" ht="12.75" customHeight="1" thickBot="1" x14ac:dyDescent="0.3">
      <c r="A269" s="172"/>
      <c r="B269" s="375" t="s">
        <v>34</v>
      </c>
      <c r="C269" s="249"/>
      <c r="D269" s="250"/>
      <c r="E269" s="251"/>
      <c r="F269" s="328"/>
      <c r="G269" s="329"/>
      <c r="H269" s="165"/>
      <c r="I269" s="146"/>
      <c r="J269" s="165"/>
      <c r="K269" s="165"/>
      <c r="L269" s="146"/>
      <c r="M269" s="502"/>
      <c r="N269" s="116"/>
      <c r="O269" s="116"/>
    </row>
    <row r="270" spans="1:15" ht="12.75" customHeight="1" x14ac:dyDescent="0.25">
      <c r="A270" s="116"/>
      <c r="B270" s="718" t="s">
        <v>35</v>
      </c>
      <c r="C270" s="719">
        <v>0</v>
      </c>
      <c r="D270" s="708">
        <f>(C272-C270)*1000</f>
        <v>7.29</v>
      </c>
      <c r="E270" s="708">
        <f>E272</f>
        <v>27.5</v>
      </c>
      <c r="F270" s="708">
        <f>(E270+E272)/2</f>
        <v>27.5</v>
      </c>
      <c r="G270" s="709">
        <f>F270*D270</f>
        <v>200.47499999999999</v>
      </c>
      <c r="H270" s="705"/>
      <c r="I270" s="705"/>
      <c r="J270" s="705"/>
      <c r="K270" s="705"/>
      <c r="L270" s="705"/>
      <c r="M270" s="721"/>
      <c r="N270" s="116"/>
      <c r="O270" s="116"/>
    </row>
    <row r="271" spans="1:15" ht="12.75" customHeight="1" x14ac:dyDescent="0.25">
      <c r="A271" s="116"/>
      <c r="B271" s="691"/>
      <c r="C271" s="720"/>
      <c r="D271" s="683"/>
      <c r="E271" s="683"/>
      <c r="F271" s="683"/>
      <c r="G271" s="710"/>
      <c r="H271" s="705"/>
      <c r="I271" s="705"/>
      <c r="J271" s="705"/>
      <c r="K271" s="705"/>
      <c r="L271" s="705"/>
      <c r="M271" s="721"/>
      <c r="N271" s="116"/>
      <c r="O271" s="116"/>
    </row>
    <row r="272" spans="1:15" ht="12.75" customHeight="1" x14ac:dyDescent="0.25">
      <c r="A272" s="116"/>
      <c r="B272" s="691" t="s">
        <v>36</v>
      </c>
      <c r="C272" s="720">
        <v>7.2899999999999996E-3</v>
      </c>
      <c r="D272" s="683"/>
      <c r="E272" s="683">
        <v>27.5</v>
      </c>
      <c r="F272" s="683"/>
      <c r="G272" s="710"/>
      <c r="H272" s="705"/>
      <c r="I272" s="705"/>
      <c r="J272" s="705"/>
      <c r="K272" s="705"/>
      <c r="L272" s="705"/>
      <c r="M272" s="721"/>
      <c r="N272" s="116"/>
      <c r="O272" s="116"/>
    </row>
    <row r="273" spans="1:15" ht="12.75" customHeight="1" x14ac:dyDescent="0.25">
      <c r="A273" s="116"/>
      <c r="B273" s="691"/>
      <c r="C273" s="720"/>
      <c r="D273" s="683">
        <f>(C274-C272)*1000</f>
        <v>11.88</v>
      </c>
      <c r="E273" s="683"/>
      <c r="F273" s="683">
        <f>(E272+E274)/2</f>
        <v>30.04</v>
      </c>
      <c r="G273" s="710">
        <f>F273*D273</f>
        <v>356.87520000000001</v>
      </c>
      <c r="H273" s="705"/>
      <c r="I273" s="705"/>
      <c r="J273" s="705"/>
      <c r="K273" s="705"/>
      <c r="L273" s="705"/>
      <c r="M273" s="721"/>
      <c r="N273" s="116"/>
      <c r="O273" s="116"/>
    </row>
    <row r="274" spans="1:15" ht="12.75" customHeight="1" x14ac:dyDescent="0.25">
      <c r="A274" s="116"/>
      <c r="B274" s="691" t="s">
        <v>37</v>
      </c>
      <c r="C274" s="720">
        <v>1.917E-2</v>
      </c>
      <c r="D274" s="683"/>
      <c r="E274" s="683">
        <v>32.58</v>
      </c>
      <c r="F274" s="683"/>
      <c r="G274" s="710"/>
      <c r="H274" s="705"/>
      <c r="I274" s="705"/>
      <c r="J274" s="705"/>
      <c r="K274" s="705"/>
      <c r="L274" s="705"/>
      <c r="M274" s="721"/>
      <c r="N274" s="116"/>
      <c r="O274" s="116"/>
    </row>
    <row r="275" spans="1:15" ht="12.75" customHeight="1" x14ac:dyDescent="0.25">
      <c r="A275" s="116"/>
      <c r="B275" s="691"/>
      <c r="C275" s="720"/>
      <c r="D275" s="683">
        <f>(C276-C274)*1000</f>
        <v>11</v>
      </c>
      <c r="E275" s="683"/>
      <c r="F275" s="683">
        <f>(E274+E276)/2</f>
        <v>32.69</v>
      </c>
      <c r="G275" s="710">
        <f>F275*D275</f>
        <v>359.59</v>
      </c>
      <c r="H275" s="705"/>
      <c r="I275" s="705"/>
      <c r="J275" s="705"/>
      <c r="K275" s="705"/>
      <c r="L275" s="705"/>
      <c r="M275" s="721"/>
      <c r="N275" s="116"/>
      <c r="O275" s="116"/>
    </row>
    <row r="276" spans="1:15" ht="12.75" customHeight="1" x14ac:dyDescent="0.25">
      <c r="A276" s="116"/>
      <c r="B276" s="691" t="s">
        <v>38</v>
      </c>
      <c r="C276" s="720">
        <v>3.0169999999999999E-2</v>
      </c>
      <c r="D276" s="683"/>
      <c r="E276" s="683">
        <v>32.799999999999997</v>
      </c>
      <c r="F276" s="683"/>
      <c r="G276" s="710"/>
      <c r="H276" s="705"/>
      <c r="I276" s="705"/>
      <c r="J276" s="705"/>
      <c r="K276" s="705"/>
      <c r="L276" s="705"/>
      <c r="M276" s="721"/>
      <c r="N276" s="116"/>
      <c r="O276" s="116"/>
    </row>
    <row r="277" spans="1:15" ht="12.75" customHeight="1" x14ac:dyDescent="0.25">
      <c r="A277" s="116"/>
      <c r="B277" s="691"/>
      <c r="C277" s="720"/>
      <c r="D277" s="683">
        <f>(C278-C276)*1000</f>
        <v>15.930000000000003</v>
      </c>
      <c r="E277" s="683"/>
      <c r="F277" s="683">
        <f>(E276+E278)/2</f>
        <v>34.65</v>
      </c>
      <c r="G277" s="710">
        <f>F277*D277</f>
        <v>551.97450000000003</v>
      </c>
      <c r="H277" s="705"/>
      <c r="I277" s="705"/>
      <c r="J277" s="705"/>
      <c r="K277" s="705"/>
      <c r="L277" s="705"/>
      <c r="M277" s="721"/>
      <c r="N277" s="116"/>
      <c r="O277" s="116"/>
    </row>
    <row r="278" spans="1:15" ht="12.75" customHeight="1" x14ac:dyDescent="0.25">
      <c r="A278" s="116"/>
      <c r="B278" s="691" t="s">
        <v>39</v>
      </c>
      <c r="C278" s="692">
        <v>4.6100000000000002E-2</v>
      </c>
      <c r="D278" s="683"/>
      <c r="E278" s="683">
        <v>36.5</v>
      </c>
      <c r="F278" s="683"/>
      <c r="G278" s="710"/>
      <c r="H278" s="705"/>
      <c r="I278" s="705"/>
      <c r="J278" s="705"/>
      <c r="K278" s="705"/>
      <c r="L278" s="705"/>
      <c r="M278" s="721"/>
      <c r="N278" s="116"/>
      <c r="O278" s="116"/>
    </row>
    <row r="279" spans="1:15" ht="12.75" customHeight="1" x14ac:dyDescent="0.25">
      <c r="A279" s="116"/>
      <c r="B279" s="691"/>
      <c r="C279" s="692"/>
      <c r="D279" s="683">
        <f>(C280-C278)*1000</f>
        <v>0.39999999999999758</v>
      </c>
      <c r="E279" s="683"/>
      <c r="F279" s="683">
        <f>(E278+E280)/2</f>
        <v>37.25</v>
      </c>
      <c r="G279" s="710">
        <f>F279*D279</f>
        <v>14.89999999999991</v>
      </c>
      <c r="H279" s="705"/>
      <c r="I279" s="705"/>
      <c r="J279" s="705"/>
      <c r="K279" s="705"/>
      <c r="L279" s="705"/>
      <c r="M279" s="721"/>
      <c r="N279" s="116"/>
      <c r="O279" s="116"/>
    </row>
    <row r="280" spans="1:15" ht="12.75" customHeight="1" x14ac:dyDescent="0.25">
      <c r="A280" s="116"/>
      <c r="B280" s="691" t="s">
        <v>136</v>
      </c>
      <c r="C280" s="692">
        <v>4.65E-2</v>
      </c>
      <c r="D280" s="683"/>
      <c r="E280" s="683">
        <v>38</v>
      </c>
      <c r="F280" s="683"/>
      <c r="G280" s="710"/>
      <c r="H280" s="705"/>
      <c r="I280" s="705"/>
      <c r="J280" s="705"/>
      <c r="K280" s="705"/>
      <c r="L280" s="705"/>
      <c r="M280" s="721"/>
      <c r="N280" s="116"/>
      <c r="O280" s="116"/>
    </row>
    <row r="281" spans="1:15" ht="12.75" customHeight="1" x14ac:dyDescent="0.25">
      <c r="A281" s="116"/>
      <c r="B281" s="691"/>
      <c r="C281" s="692"/>
      <c r="D281" s="683">
        <f>(C282-C280)*1000</f>
        <v>12.000000000000004</v>
      </c>
      <c r="E281" s="683"/>
      <c r="F281" s="683">
        <f>(E280+E282)/2</f>
        <v>38</v>
      </c>
      <c r="G281" s="710">
        <f>F281*D281</f>
        <v>456.00000000000011</v>
      </c>
      <c r="H281" s="705"/>
      <c r="I281" s="705"/>
      <c r="J281" s="705"/>
      <c r="K281" s="705"/>
      <c r="L281" s="705"/>
      <c r="M281" s="721"/>
      <c r="N281" s="116"/>
      <c r="O281" s="116"/>
    </row>
    <row r="282" spans="1:15" ht="12.75" customHeight="1" x14ac:dyDescent="0.25">
      <c r="A282" s="116"/>
      <c r="B282" s="691" t="s">
        <v>136</v>
      </c>
      <c r="C282" s="692">
        <v>5.8500000000000003E-2</v>
      </c>
      <c r="D282" s="683"/>
      <c r="E282" s="683">
        <v>38</v>
      </c>
      <c r="F282" s="683"/>
      <c r="G282" s="710"/>
      <c r="H282" s="705"/>
      <c r="I282" s="705"/>
      <c r="J282" s="705"/>
      <c r="K282" s="705"/>
      <c r="L282" s="705"/>
      <c r="M282" s="721"/>
      <c r="N282" s="116"/>
      <c r="O282" s="116"/>
    </row>
    <row r="283" spans="1:15" ht="12.75" customHeight="1" x14ac:dyDescent="0.25">
      <c r="A283" s="116"/>
      <c r="B283" s="691"/>
      <c r="C283" s="692"/>
      <c r="D283" s="683">
        <f>(C284-C282)*1000</f>
        <v>3.7299999999999973</v>
      </c>
      <c r="E283" s="683"/>
      <c r="F283" s="683">
        <f>(E282+E284)/2</f>
        <v>40.65</v>
      </c>
      <c r="G283" s="710">
        <f>F283*D283</f>
        <v>151.6244999999999</v>
      </c>
      <c r="H283" s="705"/>
      <c r="I283" s="705"/>
      <c r="J283" s="705"/>
      <c r="K283" s="705"/>
      <c r="L283" s="705"/>
      <c r="M283" s="721"/>
      <c r="N283" s="116"/>
      <c r="O283" s="116"/>
    </row>
    <row r="284" spans="1:15" ht="12.75" customHeight="1" x14ac:dyDescent="0.25">
      <c r="A284" s="116"/>
      <c r="B284" s="691" t="s">
        <v>42</v>
      </c>
      <c r="C284" s="692">
        <v>6.2230000000000001E-2</v>
      </c>
      <c r="D284" s="683"/>
      <c r="E284" s="683">
        <v>43.3</v>
      </c>
      <c r="F284" s="683"/>
      <c r="G284" s="710"/>
      <c r="H284" s="705"/>
      <c r="I284" s="705"/>
      <c r="J284" s="705"/>
      <c r="K284" s="705"/>
      <c r="L284" s="705"/>
      <c r="M284" s="721"/>
      <c r="N284" s="116"/>
      <c r="O284" s="116"/>
    </row>
    <row r="285" spans="1:15" ht="12.75" customHeight="1" x14ac:dyDescent="0.25">
      <c r="A285" s="116"/>
      <c r="B285" s="691"/>
      <c r="C285" s="692"/>
      <c r="D285" s="683">
        <f>(C286-C284)*1000</f>
        <v>23.839999999999993</v>
      </c>
      <c r="E285" s="683"/>
      <c r="F285" s="683">
        <f>(E284+E286)/2</f>
        <v>43.3</v>
      </c>
      <c r="G285" s="710">
        <f>F285*D285</f>
        <v>1032.2719999999997</v>
      </c>
      <c r="H285" s="705"/>
      <c r="I285" s="705"/>
      <c r="J285" s="705"/>
      <c r="K285" s="705"/>
      <c r="L285" s="705"/>
      <c r="M285" s="721"/>
      <c r="N285" s="116"/>
      <c r="O285" s="116"/>
    </row>
    <row r="286" spans="1:15" ht="12.75" customHeight="1" x14ac:dyDescent="0.25">
      <c r="A286" s="116"/>
      <c r="B286" s="691" t="s">
        <v>43</v>
      </c>
      <c r="C286" s="692">
        <v>8.6069999999999994E-2</v>
      </c>
      <c r="D286" s="683"/>
      <c r="E286" s="683">
        <f>E284</f>
        <v>43.3</v>
      </c>
      <c r="F286" s="683"/>
      <c r="G286" s="710"/>
      <c r="H286" s="705"/>
      <c r="I286" s="705"/>
      <c r="J286" s="705"/>
      <c r="K286" s="705"/>
      <c r="L286" s="705"/>
      <c r="M286" s="721"/>
      <c r="N286" s="116"/>
      <c r="O286" s="116"/>
    </row>
    <row r="287" spans="1:15" ht="12.75" customHeight="1" thickBot="1" x14ac:dyDescent="0.3">
      <c r="A287" s="116"/>
      <c r="B287" s="722"/>
      <c r="C287" s="696"/>
      <c r="D287" s="254"/>
      <c r="E287" s="697"/>
      <c r="F287" s="257"/>
      <c r="G287" s="376"/>
      <c r="H287" s="705"/>
      <c r="I287" s="145"/>
      <c r="J287" s="173"/>
      <c r="K287" s="705"/>
      <c r="L287" s="705"/>
      <c r="M287" s="721"/>
      <c r="N287" s="116"/>
      <c r="O287" s="116"/>
    </row>
    <row r="288" spans="1:15" ht="12.75" customHeight="1" thickBot="1" x14ac:dyDescent="0.3">
      <c r="A288" s="116"/>
      <c r="B288" s="248" t="s">
        <v>44</v>
      </c>
      <c r="C288" s="207"/>
      <c r="D288" s="287"/>
      <c r="E288" s="328"/>
      <c r="F288" s="287"/>
      <c r="G288" s="377"/>
      <c r="H288" s="146"/>
      <c r="I288" s="145"/>
      <c r="J288" s="145"/>
      <c r="K288" s="145"/>
      <c r="L288" s="116"/>
      <c r="M288" s="126"/>
      <c r="N288" s="116"/>
      <c r="O288" s="116"/>
    </row>
    <row r="289" spans="1:15" ht="12.75" customHeight="1" x14ac:dyDescent="0.25">
      <c r="A289" s="116"/>
      <c r="B289" s="718" t="s">
        <v>35</v>
      </c>
      <c r="C289" s="719">
        <v>0.10195</v>
      </c>
      <c r="D289" s="706">
        <f>(C291-C289)*1000</f>
        <v>5.2800000000000065</v>
      </c>
      <c r="E289" s="708">
        <f>E291</f>
        <v>20.100000000000001</v>
      </c>
      <c r="F289" s="708">
        <f>(E289+E291)/2</f>
        <v>20.100000000000001</v>
      </c>
      <c r="G289" s="709">
        <f>F289*D289</f>
        <v>106.12800000000014</v>
      </c>
      <c r="H289" s="705"/>
      <c r="I289" s="705"/>
      <c r="J289" s="705"/>
      <c r="K289" s="705"/>
      <c r="L289" s="705"/>
      <c r="M289" s="721"/>
      <c r="N289" s="116"/>
      <c r="O289" s="116"/>
    </row>
    <row r="290" spans="1:15" ht="12.75" customHeight="1" x14ac:dyDescent="0.25">
      <c r="A290" s="116"/>
      <c r="B290" s="691"/>
      <c r="C290" s="720"/>
      <c r="D290" s="707"/>
      <c r="E290" s="683"/>
      <c r="F290" s="683"/>
      <c r="G290" s="710"/>
      <c r="H290" s="705"/>
      <c r="I290" s="705"/>
      <c r="J290" s="705"/>
      <c r="K290" s="705"/>
      <c r="L290" s="705"/>
      <c r="M290" s="721"/>
      <c r="N290" s="116"/>
      <c r="O290" s="116"/>
    </row>
    <row r="291" spans="1:15" ht="12.75" customHeight="1" x14ac:dyDescent="0.25">
      <c r="A291" s="116"/>
      <c r="B291" s="691" t="s">
        <v>45</v>
      </c>
      <c r="C291" s="720">
        <v>0.10723000000000001</v>
      </c>
      <c r="D291" s="704"/>
      <c r="E291" s="683">
        <v>20.100000000000001</v>
      </c>
      <c r="F291" s="683"/>
      <c r="G291" s="710"/>
      <c r="H291" s="705"/>
      <c r="I291" s="705"/>
      <c r="J291" s="705"/>
      <c r="K291" s="705"/>
      <c r="L291" s="705"/>
      <c r="M291" s="721"/>
      <c r="N291" s="116"/>
      <c r="O291" s="116"/>
    </row>
    <row r="292" spans="1:15" ht="12.75" customHeight="1" x14ac:dyDescent="0.25">
      <c r="A292" s="116"/>
      <c r="B292" s="691"/>
      <c r="C292" s="720"/>
      <c r="D292" s="683">
        <f>(C293-C291)*1000</f>
        <v>9.319999999999995</v>
      </c>
      <c r="E292" s="683"/>
      <c r="F292" s="683">
        <f>(E291+E293)/2</f>
        <v>23.05</v>
      </c>
      <c r="G292" s="710">
        <f>F292*D292</f>
        <v>214.82599999999988</v>
      </c>
      <c r="H292" s="705"/>
      <c r="I292" s="705"/>
      <c r="J292" s="705"/>
      <c r="K292" s="705"/>
      <c r="L292" s="705"/>
      <c r="M292" s="721"/>
      <c r="N292" s="116"/>
      <c r="O292" s="116"/>
    </row>
    <row r="293" spans="1:15" ht="12.75" customHeight="1" x14ac:dyDescent="0.25">
      <c r="A293" s="116"/>
      <c r="B293" s="691" t="s">
        <v>46</v>
      </c>
      <c r="C293" s="720">
        <v>0.11655</v>
      </c>
      <c r="D293" s="683"/>
      <c r="E293" s="683">
        <v>26</v>
      </c>
      <c r="F293" s="683"/>
      <c r="G293" s="710"/>
      <c r="H293" s="705"/>
      <c r="I293" s="705"/>
      <c r="J293" s="705"/>
      <c r="K293" s="705"/>
      <c r="L293" s="705"/>
      <c r="M293" s="721"/>
      <c r="N293" s="116"/>
      <c r="O293" s="116"/>
    </row>
    <row r="294" spans="1:15" ht="12.75" customHeight="1" x14ac:dyDescent="0.25">
      <c r="A294" s="116"/>
      <c r="B294" s="691"/>
      <c r="C294" s="720"/>
      <c r="D294" s="683">
        <f>(C295-C293)*1000</f>
        <v>11.040000000000008</v>
      </c>
      <c r="E294" s="683"/>
      <c r="F294" s="683">
        <f>(E293+E295)/2</f>
        <v>24.25</v>
      </c>
      <c r="G294" s="710">
        <f>F294*D294</f>
        <v>267.7200000000002</v>
      </c>
      <c r="H294" s="705"/>
      <c r="I294" s="705"/>
      <c r="J294" s="705"/>
      <c r="K294" s="705"/>
      <c r="L294" s="705"/>
      <c r="M294" s="721"/>
      <c r="N294" s="116"/>
      <c r="O294" s="116"/>
    </row>
    <row r="295" spans="1:15" ht="12.75" customHeight="1" x14ac:dyDescent="0.25">
      <c r="A295" s="116"/>
      <c r="B295" s="691" t="s">
        <v>47</v>
      </c>
      <c r="C295" s="720">
        <v>0.12759000000000001</v>
      </c>
      <c r="D295" s="683"/>
      <c r="E295" s="683">
        <v>22.5</v>
      </c>
      <c r="F295" s="683"/>
      <c r="G295" s="710"/>
      <c r="H295" s="705"/>
      <c r="I295" s="705"/>
      <c r="J295" s="705"/>
      <c r="K295" s="705"/>
      <c r="L295" s="705"/>
      <c r="M295" s="721"/>
      <c r="N295" s="116"/>
      <c r="O295" s="116"/>
    </row>
    <row r="296" spans="1:15" ht="12.75" customHeight="1" x14ac:dyDescent="0.25">
      <c r="A296" s="116"/>
      <c r="B296" s="691"/>
      <c r="C296" s="720"/>
      <c r="D296" s="683">
        <f>(C297-C295)*1000</f>
        <v>13.039999999999996</v>
      </c>
      <c r="E296" s="683"/>
      <c r="F296" s="683">
        <f>(E295+E297)/2</f>
        <v>32.25</v>
      </c>
      <c r="G296" s="710">
        <f>F296*D296</f>
        <v>420.53999999999985</v>
      </c>
      <c r="H296" s="705"/>
      <c r="I296" s="705"/>
      <c r="J296" s="705"/>
      <c r="K296" s="705"/>
      <c r="L296" s="705"/>
      <c r="M296" s="721"/>
      <c r="N296" s="116"/>
      <c r="O296" s="116"/>
    </row>
    <row r="297" spans="1:15" ht="12.75" customHeight="1" x14ac:dyDescent="0.25">
      <c r="A297" s="116"/>
      <c r="B297" s="691" t="s">
        <v>48</v>
      </c>
      <c r="C297" s="692">
        <v>0.14063000000000001</v>
      </c>
      <c r="D297" s="683"/>
      <c r="E297" s="683">
        <v>42</v>
      </c>
      <c r="F297" s="683"/>
      <c r="G297" s="710"/>
      <c r="H297" s="705"/>
      <c r="I297" s="705"/>
      <c r="J297" s="705"/>
      <c r="K297" s="705"/>
      <c r="L297" s="705"/>
      <c r="M297" s="721"/>
      <c r="N297" s="116"/>
      <c r="O297" s="116"/>
    </row>
    <row r="298" spans="1:15" ht="12.75" customHeight="1" x14ac:dyDescent="0.25">
      <c r="A298" s="116"/>
      <c r="B298" s="691"/>
      <c r="C298" s="692"/>
      <c r="D298" s="683">
        <f>(C299-C297)*1000</f>
        <v>7.0099999999999882</v>
      </c>
      <c r="E298" s="683"/>
      <c r="F298" s="683">
        <f>(E297+E299)/2</f>
        <v>41</v>
      </c>
      <c r="G298" s="710">
        <f>F298*D298</f>
        <v>287.40999999999951</v>
      </c>
      <c r="H298" s="705"/>
      <c r="I298" s="705"/>
      <c r="J298" s="705"/>
      <c r="K298" s="705"/>
      <c r="L298" s="705"/>
      <c r="M298" s="721"/>
      <c r="N298" s="116"/>
      <c r="O298" s="116"/>
    </row>
    <row r="299" spans="1:15" ht="12.75" customHeight="1" x14ac:dyDescent="0.25">
      <c r="A299" s="116"/>
      <c r="B299" s="691" t="s">
        <v>49</v>
      </c>
      <c r="C299" s="692">
        <v>0.14763999999999999</v>
      </c>
      <c r="D299" s="683"/>
      <c r="E299" s="683">
        <v>40</v>
      </c>
      <c r="F299" s="683"/>
      <c r="G299" s="710"/>
      <c r="H299" s="705"/>
      <c r="I299" s="705"/>
      <c r="J299" s="705"/>
      <c r="K299" s="705"/>
      <c r="L299" s="705"/>
      <c r="M299" s="721"/>
      <c r="N299" s="116"/>
      <c r="O299" s="116"/>
    </row>
    <row r="300" spans="1:15" ht="12.75" customHeight="1" x14ac:dyDescent="0.25">
      <c r="A300" s="116"/>
      <c r="B300" s="691"/>
      <c r="C300" s="692"/>
      <c r="D300" s="683">
        <f>(C301-C299)*1000</f>
        <v>10.300000000000004</v>
      </c>
      <c r="E300" s="683"/>
      <c r="F300" s="683">
        <f>(E299+E301)/2</f>
        <v>42</v>
      </c>
      <c r="G300" s="710">
        <f>F300*D300</f>
        <v>432.60000000000019</v>
      </c>
      <c r="H300" s="705"/>
      <c r="I300" s="705"/>
      <c r="J300" s="705"/>
      <c r="K300" s="705"/>
      <c r="L300" s="705"/>
      <c r="M300" s="721"/>
      <c r="N300" s="116"/>
      <c r="O300" s="116"/>
    </row>
    <row r="301" spans="1:15" ht="12.75" customHeight="1" x14ac:dyDescent="0.25">
      <c r="A301" s="116"/>
      <c r="B301" s="691" t="s">
        <v>50</v>
      </c>
      <c r="C301" s="692">
        <v>0.15794</v>
      </c>
      <c r="D301" s="683"/>
      <c r="E301" s="683">
        <v>44</v>
      </c>
      <c r="F301" s="683"/>
      <c r="G301" s="710"/>
      <c r="H301" s="705"/>
      <c r="I301" s="705"/>
      <c r="J301" s="705"/>
      <c r="K301" s="705"/>
      <c r="L301" s="705"/>
      <c r="M301" s="721"/>
      <c r="N301" s="116"/>
      <c r="O301" s="116"/>
    </row>
    <row r="302" spans="1:15" ht="12.75" customHeight="1" x14ac:dyDescent="0.25">
      <c r="A302" s="116"/>
      <c r="B302" s="691"/>
      <c r="C302" s="692"/>
      <c r="D302" s="683">
        <f>(C303-C301)*1000</f>
        <v>24.06</v>
      </c>
      <c r="E302" s="683"/>
      <c r="F302" s="683">
        <f>(E301+E303)/2</f>
        <v>29.5</v>
      </c>
      <c r="G302" s="710">
        <f>F302*D302</f>
        <v>709.77</v>
      </c>
      <c r="H302" s="705"/>
      <c r="I302" s="705"/>
      <c r="J302" s="705"/>
      <c r="K302" s="705"/>
      <c r="L302" s="705"/>
      <c r="M302" s="721"/>
      <c r="N302" s="116"/>
      <c r="O302" s="116"/>
    </row>
    <row r="303" spans="1:15" ht="12.75" customHeight="1" x14ac:dyDescent="0.25">
      <c r="A303" s="116"/>
      <c r="B303" s="691" t="s">
        <v>43</v>
      </c>
      <c r="C303" s="692">
        <v>0.182</v>
      </c>
      <c r="D303" s="683"/>
      <c r="E303" s="683">
        <v>15</v>
      </c>
      <c r="F303" s="683"/>
      <c r="G303" s="710"/>
      <c r="H303" s="705"/>
      <c r="I303" s="705"/>
      <c r="J303" s="705"/>
      <c r="K303" s="705"/>
      <c r="L303" s="705"/>
      <c r="M303" s="721"/>
      <c r="N303" s="116"/>
      <c r="O303" s="116"/>
    </row>
    <row r="304" spans="1:15" ht="12.75" customHeight="1" thickBot="1" x14ac:dyDescent="0.3">
      <c r="A304" s="116"/>
      <c r="B304" s="722"/>
      <c r="C304" s="696"/>
      <c r="D304" s="252"/>
      <c r="E304" s="697"/>
      <c r="F304" s="252"/>
      <c r="G304" s="380"/>
      <c r="H304" s="705"/>
      <c r="I304" s="145"/>
      <c r="J304" s="145"/>
      <c r="K304" s="705"/>
      <c r="L304" s="145"/>
      <c r="M304" s="682"/>
      <c r="N304" s="116"/>
      <c r="O304" s="116"/>
    </row>
    <row r="305" spans="1:15" ht="12.75" customHeight="1" thickBot="1" x14ac:dyDescent="0.3">
      <c r="B305" s="381" t="s">
        <v>59</v>
      </c>
      <c r="C305" s="264"/>
      <c r="D305" s="6"/>
      <c r="E305" s="7"/>
      <c r="F305" s="6"/>
      <c r="G305" s="334">
        <f>SUM(G269:G303)</f>
        <v>5562.7052000000003</v>
      </c>
      <c r="H305" s="156"/>
      <c r="I305" s="155"/>
      <c r="J305" s="155"/>
      <c r="K305" s="157"/>
      <c r="L305" s="158"/>
      <c r="M305" s="681"/>
      <c r="N305" s="116"/>
      <c r="O305" s="116"/>
    </row>
    <row r="306" spans="1:15" ht="12.75" customHeight="1" x14ac:dyDescent="0.25">
      <c r="A306" s="174"/>
      <c r="B306" s="162"/>
      <c r="C306" s="116"/>
      <c r="D306" s="145"/>
      <c r="E306" s="146"/>
      <c r="F306" s="145"/>
      <c r="G306" s="145"/>
      <c r="H306" s="146"/>
      <c r="I306" s="145"/>
      <c r="J306" s="145"/>
      <c r="K306" s="146"/>
      <c r="L306" s="145"/>
      <c r="M306" s="682"/>
      <c r="N306" s="116"/>
      <c r="O306" s="116"/>
    </row>
    <row r="307" spans="1:15" ht="12.75" customHeight="1" x14ac:dyDescent="0.25">
      <c r="A307" s="174"/>
      <c r="B307" s="357" t="s">
        <v>128</v>
      </c>
      <c r="C307" s="116"/>
      <c r="D307" s="145"/>
      <c r="E307" s="166"/>
      <c r="F307" s="145"/>
      <c r="G307" s="145"/>
      <c r="H307" s="166"/>
      <c r="I307" s="145"/>
      <c r="J307" s="145"/>
      <c r="K307" s="166"/>
      <c r="L307" s="145"/>
      <c r="M307" s="682"/>
      <c r="N307" s="116"/>
      <c r="O307" s="116"/>
    </row>
    <row r="308" spans="1:15" ht="12.75" customHeight="1" x14ac:dyDescent="0.25">
      <c r="A308" s="174" t="s">
        <v>597</v>
      </c>
      <c r="B308" s="14" t="s">
        <v>607</v>
      </c>
      <c r="C308" s="278"/>
      <c r="D308" s="342" t="s">
        <v>146</v>
      </c>
      <c r="E308" s="342" t="s">
        <v>147</v>
      </c>
      <c r="F308" s="342" t="s">
        <v>148</v>
      </c>
      <c r="G308" s="342"/>
      <c r="H308" s="285"/>
      <c r="I308" s="145"/>
      <c r="J308" s="145"/>
      <c r="K308" s="146"/>
      <c r="L308" s="145"/>
      <c r="M308" s="682"/>
      <c r="N308" s="116"/>
      <c r="O308" s="116"/>
    </row>
    <row r="309" spans="1:15" ht="12.75" customHeight="1" x14ac:dyDescent="0.25">
      <c r="A309" s="174"/>
      <c r="B309" s="342" t="s">
        <v>137</v>
      </c>
      <c r="C309" s="342" t="s">
        <v>138</v>
      </c>
      <c r="D309" s="342">
        <v>15.4</v>
      </c>
      <c r="E309" s="342">
        <v>1.3</v>
      </c>
      <c r="F309" s="342">
        <f>D309*E309</f>
        <v>20.02</v>
      </c>
      <c r="G309" s="342"/>
      <c r="H309" s="342"/>
      <c r="I309" s="145"/>
      <c r="J309" s="145"/>
      <c r="K309" s="146"/>
      <c r="L309" s="145"/>
      <c r="M309" s="682"/>
      <c r="N309" s="116"/>
      <c r="O309" s="116"/>
    </row>
    <row r="310" spans="1:15" ht="12.75" customHeight="1" x14ac:dyDescent="0.25">
      <c r="A310" s="174"/>
      <c r="B310" s="363" t="s">
        <v>139</v>
      </c>
      <c r="C310" s="363" t="s">
        <v>140</v>
      </c>
      <c r="D310" s="363">
        <v>19</v>
      </c>
      <c r="E310" s="363">
        <v>1.3</v>
      </c>
      <c r="F310" s="363">
        <f>D310*E310</f>
        <v>24.7</v>
      </c>
      <c r="G310" s="363"/>
      <c r="H310" s="383"/>
      <c r="I310" s="145"/>
      <c r="J310" s="145"/>
      <c r="K310" s="146"/>
      <c r="L310" s="145"/>
      <c r="M310" s="682"/>
      <c r="N310" s="116"/>
      <c r="O310" s="116"/>
    </row>
    <row r="311" spans="1:15" ht="12.75" customHeight="1" x14ac:dyDescent="0.25">
      <c r="A311" s="174"/>
      <c r="B311" s="342"/>
      <c r="C311" s="342"/>
      <c r="D311" s="342"/>
      <c r="E311" s="342"/>
      <c r="F311" s="342"/>
      <c r="G311" s="382">
        <f>SUM(F309:F310)</f>
        <v>44.72</v>
      </c>
      <c r="H311" s="285" t="s">
        <v>24</v>
      </c>
      <c r="I311" s="145"/>
      <c r="J311" s="145"/>
      <c r="K311" s="146"/>
      <c r="L311" s="145"/>
      <c r="M311" s="682"/>
      <c r="N311" s="116"/>
      <c r="O311" s="116"/>
    </row>
    <row r="312" spans="1:15" ht="12.75" customHeight="1" x14ac:dyDescent="0.25">
      <c r="A312" s="174"/>
      <c r="B312" s="342" t="s">
        <v>143</v>
      </c>
      <c r="C312" s="11"/>
      <c r="D312" s="324"/>
      <c r="E312" s="285"/>
      <c r="F312" s="324"/>
      <c r="G312" s="324"/>
      <c r="H312" s="285"/>
      <c r="I312" s="145"/>
      <c r="J312" s="145"/>
      <c r="K312" s="146"/>
      <c r="L312" s="145"/>
      <c r="M312" s="682"/>
      <c r="N312" s="116"/>
      <c r="O312" s="384"/>
    </row>
    <row r="313" spans="1:15" ht="12.75" customHeight="1" x14ac:dyDescent="0.25">
      <c r="A313" s="174"/>
      <c r="B313" s="342" t="s">
        <v>150</v>
      </c>
      <c r="C313" s="370" t="s">
        <v>151</v>
      </c>
      <c r="D313" s="370"/>
      <c r="E313" s="285"/>
      <c r="F313" s="324"/>
      <c r="G313" s="324"/>
      <c r="H313" s="285"/>
      <c r="I313" s="145"/>
      <c r="J313" s="145"/>
      <c r="K313" s="146"/>
      <c r="L313" s="145"/>
      <c r="M313" s="682"/>
      <c r="N313" s="116"/>
      <c r="O313" s="384"/>
    </row>
    <row r="314" spans="1:15" ht="12.75" customHeight="1" x14ac:dyDescent="0.25">
      <c r="A314" s="174"/>
      <c r="B314" s="342" t="s">
        <v>144</v>
      </c>
      <c r="C314" s="11"/>
      <c r="D314" s="324">
        <v>70</v>
      </c>
      <c r="E314" s="285" t="s">
        <v>23</v>
      </c>
      <c r="F314" s="324"/>
      <c r="G314" s="324"/>
      <c r="H314" s="285"/>
      <c r="I314" s="145"/>
      <c r="J314" s="145"/>
      <c r="K314" s="146"/>
      <c r="L314" s="145"/>
      <c r="M314" s="682"/>
      <c r="N314" s="116"/>
      <c r="O314" s="384"/>
    </row>
    <row r="315" spans="1:15" ht="12.75" customHeight="1" x14ac:dyDescent="0.25">
      <c r="A315" s="174"/>
      <c r="B315" s="363" t="s">
        <v>145</v>
      </c>
      <c r="C315" s="120"/>
      <c r="D315" s="370">
        <v>0.7</v>
      </c>
      <c r="E315" s="383" t="s">
        <v>7</v>
      </c>
      <c r="F315" s="370"/>
      <c r="G315" s="370"/>
      <c r="H315" s="285"/>
      <c r="I315" s="145"/>
      <c r="J315" s="145"/>
      <c r="K315" s="146"/>
      <c r="L315" s="145"/>
      <c r="M315" s="682"/>
      <c r="N315" s="116"/>
      <c r="O315" s="384"/>
    </row>
    <row r="316" spans="1:15" ht="12.75" customHeight="1" x14ac:dyDescent="0.25">
      <c r="A316" s="174"/>
      <c r="B316" s="342" t="s">
        <v>22</v>
      </c>
      <c r="C316" s="11"/>
      <c r="D316" s="324"/>
      <c r="E316" s="285"/>
      <c r="F316" s="324"/>
      <c r="G316" s="324">
        <f>D314*D315</f>
        <v>49</v>
      </c>
      <c r="H316" s="285" t="s">
        <v>24</v>
      </c>
      <c r="I316" s="145"/>
      <c r="J316" s="145"/>
      <c r="K316" s="146"/>
      <c r="L316" s="145"/>
      <c r="M316" s="682"/>
      <c r="N316" s="116"/>
      <c r="O316" s="384"/>
    </row>
    <row r="317" spans="1:15" ht="12.75" customHeight="1" x14ac:dyDescent="0.25">
      <c r="A317" s="174"/>
      <c r="B317" s="342"/>
      <c r="C317" s="11"/>
      <c r="D317" s="324"/>
      <c r="E317" s="285"/>
      <c r="F317" s="324"/>
      <c r="G317" s="324"/>
      <c r="H317" s="285"/>
      <c r="I317" s="145"/>
      <c r="J317" s="145"/>
      <c r="L317" s="145"/>
      <c r="M317" s="682"/>
      <c r="N317" s="146"/>
      <c r="O317" s="384"/>
    </row>
    <row r="318" spans="1:15" ht="12.75" customHeight="1" x14ac:dyDescent="0.25">
      <c r="A318" s="174"/>
      <c r="B318" s="342" t="s">
        <v>144</v>
      </c>
      <c r="C318" s="11"/>
      <c r="D318" s="324">
        <v>35</v>
      </c>
      <c r="E318" s="285" t="s">
        <v>23</v>
      </c>
      <c r="F318" s="324"/>
      <c r="G318" s="324"/>
      <c r="H318" s="285"/>
      <c r="I318" s="145"/>
      <c r="J318" s="145"/>
      <c r="K318" s="146"/>
      <c r="L318" s="145"/>
      <c r="M318" s="682"/>
      <c r="N318" s="116"/>
      <c r="O318" s="384"/>
    </row>
    <row r="319" spans="1:15" ht="12.75" customHeight="1" x14ac:dyDescent="0.25">
      <c r="A319" s="174"/>
      <c r="B319" s="363" t="s">
        <v>145</v>
      </c>
      <c r="C319" s="120"/>
      <c r="D319" s="370">
        <v>0.45</v>
      </c>
      <c r="E319" s="383" t="s">
        <v>23</v>
      </c>
      <c r="F319" s="370"/>
      <c r="G319" s="370"/>
      <c r="H319" s="285"/>
      <c r="I319" s="145"/>
      <c r="J319" s="145"/>
      <c r="K319" s="146"/>
      <c r="L319" s="145"/>
      <c r="M319" s="682"/>
      <c r="N319" s="116"/>
      <c r="O319" s="384"/>
    </row>
    <row r="320" spans="1:15" ht="12.75" customHeight="1" x14ac:dyDescent="0.25">
      <c r="A320" s="174"/>
      <c r="B320" s="342" t="s">
        <v>22</v>
      </c>
      <c r="C320" s="11"/>
      <c r="D320" s="324"/>
      <c r="E320" s="285"/>
      <c r="F320" s="324"/>
      <c r="G320" s="324">
        <f>D318*D319</f>
        <v>15.75</v>
      </c>
      <c r="H320" s="285" t="s">
        <v>24</v>
      </c>
      <c r="I320" s="145"/>
      <c r="J320" s="145"/>
      <c r="K320" s="146"/>
      <c r="L320" s="145"/>
      <c r="M320" s="682"/>
      <c r="N320" s="116"/>
      <c r="O320" s="384"/>
    </row>
    <row r="321" spans="1:15" ht="12.75" customHeight="1" x14ac:dyDescent="0.25">
      <c r="A321" s="174"/>
      <c r="B321" s="162"/>
      <c r="C321" s="116"/>
      <c r="D321" s="145"/>
      <c r="E321" s="146"/>
      <c r="F321" s="145"/>
      <c r="G321" s="145"/>
      <c r="H321" s="146"/>
      <c r="I321" s="145"/>
      <c r="J321" s="145"/>
      <c r="K321" s="146"/>
      <c r="L321" s="145"/>
      <c r="M321" s="682"/>
      <c r="N321" s="116"/>
      <c r="O321" s="384"/>
    </row>
    <row r="322" spans="1:15" ht="12.75" customHeight="1" x14ac:dyDescent="0.25">
      <c r="A322" s="174"/>
      <c r="B322" s="342" t="s">
        <v>446</v>
      </c>
      <c r="C322" s="11"/>
      <c r="D322" s="324"/>
      <c r="E322" s="285"/>
      <c r="F322" s="145"/>
      <c r="G322" s="145"/>
      <c r="H322" s="146"/>
      <c r="I322" s="145"/>
      <c r="J322" s="145"/>
      <c r="K322" s="146"/>
      <c r="L322" s="145"/>
      <c r="M322" s="682"/>
      <c r="N322" s="116"/>
      <c r="O322" s="116"/>
    </row>
    <row r="323" spans="1:15" ht="12.75" customHeight="1" x14ac:dyDescent="0.25">
      <c r="A323" s="174"/>
      <c r="B323" s="342"/>
      <c r="C323" s="11"/>
      <c r="D323" s="324"/>
      <c r="E323" s="285"/>
      <c r="F323" s="324"/>
      <c r="G323" s="324"/>
      <c r="H323" s="285"/>
      <c r="I323" s="145"/>
      <c r="J323" s="145"/>
      <c r="K323" s="146"/>
      <c r="L323" s="145"/>
      <c r="M323" s="682"/>
      <c r="N323" s="116"/>
      <c r="O323" s="116"/>
    </row>
    <row r="324" spans="1:15" ht="12.75" customHeight="1" x14ac:dyDescent="0.25">
      <c r="A324" s="174"/>
      <c r="B324" s="342" t="s">
        <v>142</v>
      </c>
      <c r="C324" s="11"/>
      <c r="D324" s="324"/>
      <c r="E324" s="285"/>
      <c r="F324" s="324"/>
      <c r="G324" s="324"/>
      <c r="H324" s="285"/>
      <c r="I324" s="145"/>
      <c r="J324" s="145"/>
      <c r="K324" s="146"/>
      <c r="L324" s="145"/>
      <c r="M324" s="682"/>
      <c r="N324" s="116"/>
      <c r="O324" s="116"/>
    </row>
    <row r="325" spans="1:15" ht="12.75" customHeight="1" x14ac:dyDescent="0.25">
      <c r="A325" s="174"/>
      <c r="B325" s="342" t="s">
        <v>144</v>
      </c>
      <c r="C325" s="11"/>
      <c r="D325" s="324">
        <v>42</v>
      </c>
      <c r="E325" s="285" t="s">
        <v>23</v>
      </c>
      <c r="F325" s="324"/>
      <c r="G325" s="324"/>
      <c r="H325" s="285"/>
      <c r="I325" s="145"/>
      <c r="J325" s="145"/>
      <c r="K325" s="146"/>
      <c r="L325" s="145"/>
      <c r="M325" s="682"/>
      <c r="N325" s="116"/>
      <c r="O325" s="116"/>
    </row>
    <row r="326" spans="1:15" ht="12.75" customHeight="1" x14ac:dyDescent="0.25">
      <c r="A326" s="174"/>
      <c r="B326" s="363" t="s">
        <v>145</v>
      </c>
      <c r="C326" s="120"/>
      <c r="D326" s="370">
        <v>1.4</v>
      </c>
      <c r="E326" s="383" t="s">
        <v>23</v>
      </c>
      <c r="F326" s="370"/>
      <c r="G326" s="370"/>
      <c r="H326" s="285"/>
      <c r="I326" s="145"/>
      <c r="J326" s="145"/>
      <c r="K326" s="146"/>
      <c r="L326" s="145"/>
      <c r="M326" s="682"/>
      <c r="N326" s="116"/>
      <c r="O326" s="116"/>
    </row>
    <row r="327" spans="1:15" ht="12.75" customHeight="1" x14ac:dyDescent="0.25">
      <c r="A327" s="174"/>
      <c r="B327" s="342" t="s">
        <v>22</v>
      </c>
      <c r="C327" s="11"/>
      <c r="D327" s="324"/>
      <c r="E327" s="285"/>
      <c r="F327" s="324"/>
      <c r="G327" s="324">
        <f>D325*D326</f>
        <v>58.8</v>
      </c>
      <c r="H327" s="285" t="s">
        <v>24</v>
      </c>
      <c r="I327" s="145"/>
      <c r="J327" s="145"/>
      <c r="K327" s="146"/>
      <c r="L327" s="145"/>
      <c r="M327" s="682"/>
      <c r="N327" s="116"/>
      <c r="O327" s="116"/>
    </row>
    <row r="328" spans="1:15" ht="12.75" customHeight="1" x14ac:dyDescent="0.25">
      <c r="A328" s="174"/>
      <c r="B328" s="342"/>
      <c r="C328" s="11"/>
      <c r="D328" s="324"/>
      <c r="E328" s="285"/>
      <c r="F328" s="324"/>
      <c r="G328" s="324"/>
      <c r="H328" s="285"/>
      <c r="I328" s="145"/>
      <c r="J328" s="145"/>
      <c r="K328" s="146"/>
      <c r="L328" s="145"/>
      <c r="M328" s="682"/>
      <c r="N328" s="116"/>
      <c r="O328" s="116"/>
    </row>
    <row r="329" spans="1:15" ht="12.75" customHeight="1" x14ac:dyDescent="0.25">
      <c r="A329" s="174"/>
      <c r="B329" s="342" t="s">
        <v>144</v>
      </c>
      <c r="C329" s="11"/>
      <c r="D329" s="324">
        <v>110</v>
      </c>
      <c r="E329" s="285" t="s">
        <v>23</v>
      </c>
      <c r="F329" s="324"/>
      <c r="G329" s="324"/>
      <c r="H329" s="285"/>
      <c r="I329" s="145"/>
      <c r="J329" s="145"/>
      <c r="K329" s="146"/>
      <c r="L329" s="145"/>
      <c r="M329" s="682"/>
      <c r="N329" s="116"/>
      <c r="O329" s="116"/>
    </row>
    <row r="330" spans="1:15" ht="12.75" customHeight="1" x14ac:dyDescent="0.25">
      <c r="A330" s="174"/>
      <c r="B330" s="363" t="s">
        <v>145</v>
      </c>
      <c r="C330" s="120"/>
      <c r="D330" s="370">
        <v>0.6</v>
      </c>
      <c r="E330" s="383" t="s">
        <v>23</v>
      </c>
      <c r="F330" s="370"/>
      <c r="G330" s="370"/>
      <c r="H330" s="285"/>
      <c r="I330" s="145"/>
      <c r="J330" s="145"/>
      <c r="K330" s="146"/>
      <c r="L330" s="145"/>
      <c r="M330" s="682"/>
      <c r="N330" s="116"/>
      <c r="O330" s="116"/>
    </row>
    <row r="331" spans="1:15" ht="12.75" customHeight="1" thickBot="1" x14ac:dyDescent="0.3">
      <c r="A331" s="174"/>
      <c r="B331" s="342" t="s">
        <v>22</v>
      </c>
      <c r="C331" s="11"/>
      <c r="D331" s="324"/>
      <c r="E331" s="285"/>
      <c r="F331" s="324"/>
      <c r="G331" s="324">
        <f>D329*D330</f>
        <v>66</v>
      </c>
      <c r="H331" s="285" t="s">
        <v>24</v>
      </c>
      <c r="I331" s="145"/>
      <c r="J331" s="145"/>
      <c r="K331" s="146"/>
      <c r="L331" s="145"/>
      <c r="M331" s="682"/>
      <c r="N331" s="116"/>
      <c r="O331" s="116"/>
    </row>
    <row r="332" spans="1:15" ht="12.75" customHeight="1" thickBot="1" x14ac:dyDescent="0.3">
      <c r="A332" s="174"/>
      <c r="B332" s="385" t="s">
        <v>59</v>
      </c>
      <c r="C332" s="386" t="s">
        <v>83</v>
      </c>
      <c r="D332" s="289"/>
      <c r="E332" s="283"/>
      <c r="F332" s="289"/>
      <c r="G332" s="289">
        <f>SUM(G305:G331)</f>
        <v>5796.9752000000008</v>
      </c>
      <c r="H332" s="356" t="s">
        <v>24</v>
      </c>
      <c r="I332" s="145"/>
      <c r="J332" s="145"/>
      <c r="K332" s="146"/>
      <c r="L332" s="145"/>
      <c r="M332" s="682"/>
      <c r="N332" s="116"/>
      <c r="O332" s="116"/>
    </row>
    <row r="333" spans="1:15" ht="12.75" customHeight="1" x14ac:dyDescent="0.25">
      <c r="A333" s="174"/>
      <c r="B333" s="157"/>
      <c r="C333" s="175"/>
      <c r="D333" s="158"/>
      <c r="E333" s="157"/>
      <c r="F333" s="158"/>
      <c r="G333" s="158"/>
      <c r="H333" s="157"/>
      <c r="I333" s="145"/>
      <c r="J333" s="145"/>
      <c r="K333" s="146"/>
      <c r="L333" s="145"/>
      <c r="M333" s="682"/>
      <c r="N333" s="116"/>
      <c r="O333" s="116"/>
    </row>
    <row r="334" spans="1:15" ht="12.75" customHeight="1" x14ac:dyDescent="0.25">
      <c r="A334" s="116"/>
      <c r="B334" s="360" t="s">
        <v>149</v>
      </c>
      <c r="C334" s="253" t="s">
        <v>129</v>
      </c>
      <c r="D334" s="337"/>
      <c r="E334" s="285"/>
      <c r="F334" s="324"/>
      <c r="G334" s="324"/>
      <c r="H334" s="285"/>
      <c r="I334" s="145"/>
      <c r="J334" s="145"/>
      <c r="K334" s="146"/>
      <c r="L334" s="145"/>
      <c r="M334" s="682"/>
      <c r="N334" s="116"/>
      <c r="O334" s="116"/>
    </row>
    <row r="335" spans="1:15" ht="12.75" customHeight="1" thickBot="1" x14ac:dyDescent="0.3">
      <c r="A335" s="116"/>
      <c r="B335" s="368" t="s">
        <v>170</v>
      </c>
      <c r="C335" s="11"/>
      <c r="D335" s="324"/>
      <c r="E335" s="285"/>
      <c r="F335" s="324"/>
      <c r="G335" s="324"/>
      <c r="H335" s="285"/>
      <c r="I335" s="145"/>
      <c r="J335" s="145"/>
      <c r="K335" s="146"/>
      <c r="L335" s="145"/>
      <c r="M335" s="682"/>
      <c r="N335" s="116"/>
      <c r="O335" s="116"/>
    </row>
    <row r="336" spans="1:15" ht="12.75" customHeight="1" thickBot="1" x14ac:dyDescent="0.3">
      <c r="A336" s="116"/>
      <c r="B336" s="684" t="s">
        <v>12</v>
      </c>
      <c r="C336" s="685"/>
      <c r="D336" s="688" t="s">
        <v>11</v>
      </c>
      <c r="E336" s="690" t="s">
        <v>152</v>
      </c>
      <c r="F336" s="690"/>
      <c r="G336" s="690"/>
      <c r="H336" s="285"/>
      <c r="I336" s="145"/>
      <c r="J336" s="145"/>
      <c r="K336" s="146"/>
      <c r="L336" s="145"/>
      <c r="M336" s="682"/>
      <c r="N336" s="116"/>
      <c r="O336" s="116"/>
    </row>
    <row r="337" spans="1:15" ht="12.75" customHeight="1" thickBot="1" x14ac:dyDescent="0.3">
      <c r="A337" s="116"/>
      <c r="B337" s="686"/>
      <c r="C337" s="687"/>
      <c r="D337" s="688"/>
      <c r="E337" s="698" t="s">
        <v>153</v>
      </c>
      <c r="F337" s="699"/>
      <c r="G337" s="700"/>
      <c r="H337" s="285"/>
      <c r="I337" s="145"/>
      <c r="J337" s="145"/>
      <c r="K337" s="146"/>
      <c r="L337" s="145"/>
      <c r="M337" s="682"/>
      <c r="N337" s="116"/>
      <c r="O337" s="116"/>
    </row>
    <row r="338" spans="1:15" ht="26.25" customHeight="1" thickBot="1" x14ac:dyDescent="0.3">
      <c r="A338" s="116"/>
      <c r="B338" s="238" t="s">
        <v>9</v>
      </c>
      <c r="C338" s="239" t="s">
        <v>10</v>
      </c>
      <c r="D338" s="689"/>
      <c r="E338" s="240" t="s">
        <v>13</v>
      </c>
      <c r="F338" s="241" t="s">
        <v>14</v>
      </c>
      <c r="G338" s="240" t="s">
        <v>15</v>
      </c>
      <c r="H338" s="285"/>
      <c r="I338" s="145"/>
      <c r="J338" s="145"/>
      <c r="K338" s="146"/>
      <c r="L338" s="145"/>
      <c r="M338" s="682"/>
      <c r="N338" s="116"/>
      <c r="O338" s="116"/>
    </row>
    <row r="339" spans="1:15" ht="12.75" customHeight="1" thickBot="1" x14ac:dyDescent="0.3">
      <c r="A339" s="116"/>
      <c r="B339" s="242"/>
      <c r="C339" s="243" t="s">
        <v>8</v>
      </c>
      <c r="D339" s="238" t="s">
        <v>7</v>
      </c>
      <c r="E339" s="244" t="s">
        <v>565</v>
      </c>
      <c r="F339" s="245" t="s">
        <v>565</v>
      </c>
      <c r="G339" s="244" t="s">
        <v>566</v>
      </c>
      <c r="H339" s="285"/>
      <c r="I339" s="145"/>
      <c r="J339" s="145"/>
      <c r="K339" s="146"/>
      <c r="L339" s="145"/>
      <c r="M339" s="682"/>
      <c r="N339" s="116"/>
      <c r="O339" s="116"/>
    </row>
    <row r="340" spans="1:15" ht="12.75" customHeight="1" thickBot="1" x14ac:dyDescent="0.3">
      <c r="A340" s="116"/>
      <c r="B340" s="327"/>
      <c r="C340" s="249"/>
      <c r="D340" s="250"/>
      <c r="E340" s="251"/>
      <c r="F340" s="328"/>
      <c r="G340" s="329"/>
      <c r="H340" s="285"/>
      <c r="I340" s="145"/>
      <c r="J340" s="145"/>
      <c r="K340" s="146"/>
      <c r="L340" s="145"/>
      <c r="M340" s="682"/>
      <c r="N340" s="116"/>
      <c r="O340" s="116"/>
    </row>
    <row r="341" spans="1:15" ht="12.75" customHeight="1" x14ac:dyDescent="0.25">
      <c r="A341" s="116"/>
      <c r="B341" s="701" t="s">
        <v>35</v>
      </c>
      <c r="C341" s="703">
        <v>0</v>
      </c>
      <c r="D341" s="704">
        <f>(C343-C341)*1000</f>
        <v>12.5</v>
      </c>
      <c r="E341" s="704">
        <f>E343</f>
        <v>1</v>
      </c>
      <c r="F341" s="704">
        <f>(E341+E343)/2</f>
        <v>1</v>
      </c>
      <c r="G341" s="694">
        <f>F341*D341</f>
        <v>12.5</v>
      </c>
      <c r="H341" s="285"/>
      <c r="I341" s="145"/>
      <c r="J341" s="145"/>
      <c r="K341" s="146"/>
      <c r="L341" s="145"/>
      <c r="M341" s="682"/>
      <c r="N341" s="116"/>
      <c r="O341" s="116"/>
    </row>
    <row r="342" spans="1:15" ht="12.75" customHeight="1" x14ac:dyDescent="0.25">
      <c r="A342" s="116"/>
      <c r="B342" s="702"/>
      <c r="C342" s="692"/>
      <c r="D342" s="683"/>
      <c r="E342" s="683"/>
      <c r="F342" s="683"/>
      <c r="G342" s="710"/>
      <c r="H342" s="285"/>
      <c r="I342" s="145"/>
      <c r="J342" s="145"/>
      <c r="K342" s="146"/>
      <c r="L342" s="145"/>
      <c r="M342" s="682"/>
      <c r="N342" s="116"/>
      <c r="O342" s="116"/>
    </row>
    <row r="343" spans="1:15" ht="12.75" customHeight="1" x14ac:dyDescent="0.25">
      <c r="A343" s="116"/>
      <c r="B343" s="702" t="s">
        <v>119</v>
      </c>
      <c r="C343" s="692">
        <v>1.2500000000000001E-2</v>
      </c>
      <c r="D343" s="683"/>
      <c r="E343" s="683">
        <v>1</v>
      </c>
      <c r="F343" s="683"/>
      <c r="G343" s="710"/>
      <c r="H343" s="285"/>
      <c r="I343" s="145"/>
      <c r="J343" s="145"/>
      <c r="K343" s="146"/>
      <c r="L343" s="145"/>
      <c r="M343" s="682"/>
      <c r="N343" s="116"/>
      <c r="O343" s="116"/>
    </row>
    <row r="344" spans="1:15" ht="12.75" customHeight="1" x14ac:dyDescent="0.25">
      <c r="A344" s="116"/>
      <c r="B344" s="702"/>
      <c r="C344" s="692"/>
      <c r="D344" s="683">
        <f>(C345-C343)*1000</f>
        <v>9.9999999999999982</v>
      </c>
      <c r="E344" s="683"/>
      <c r="F344" s="683">
        <f>(E343+E345)/2</f>
        <v>1.35</v>
      </c>
      <c r="G344" s="710">
        <f>F344*D344</f>
        <v>13.499999999999998</v>
      </c>
      <c r="H344" s="285"/>
      <c r="I344" s="145"/>
      <c r="J344" s="145"/>
      <c r="K344" s="146"/>
      <c r="L344" s="145"/>
      <c r="M344" s="682"/>
      <c r="N344" s="116"/>
      <c r="O344" s="116"/>
    </row>
    <row r="345" spans="1:15" ht="12.75" customHeight="1" x14ac:dyDescent="0.25">
      <c r="A345" s="116"/>
      <c r="B345" s="702" t="s">
        <v>120</v>
      </c>
      <c r="C345" s="692">
        <v>2.2499999999999999E-2</v>
      </c>
      <c r="D345" s="683"/>
      <c r="E345" s="683">
        <v>1.7</v>
      </c>
      <c r="F345" s="683"/>
      <c r="G345" s="710"/>
      <c r="H345" s="285"/>
      <c r="I345" s="145"/>
      <c r="J345" s="145"/>
      <c r="K345" s="146"/>
      <c r="L345" s="145"/>
      <c r="M345" s="682"/>
      <c r="N345" s="116"/>
      <c r="O345" s="116"/>
    </row>
    <row r="346" spans="1:15" ht="12.75" customHeight="1" x14ac:dyDescent="0.25">
      <c r="A346" s="116"/>
      <c r="B346" s="702"/>
      <c r="C346" s="692"/>
      <c r="D346" s="683">
        <f>(C347-C345)*1000</f>
        <v>10.050000000000004</v>
      </c>
      <c r="E346" s="683"/>
      <c r="F346" s="683">
        <f>(E345+E347)/2</f>
        <v>1.6</v>
      </c>
      <c r="G346" s="710">
        <f>F346*D346</f>
        <v>16.080000000000009</v>
      </c>
      <c r="H346" s="285"/>
      <c r="I346" s="145"/>
      <c r="J346" s="145"/>
      <c r="K346" s="146"/>
      <c r="L346" s="145"/>
      <c r="M346" s="682"/>
      <c r="N346" s="116"/>
      <c r="O346" s="116"/>
    </row>
    <row r="347" spans="1:15" ht="12.75" customHeight="1" x14ac:dyDescent="0.25">
      <c r="A347" s="116"/>
      <c r="B347" s="702" t="s">
        <v>121</v>
      </c>
      <c r="C347" s="692">
        <v>3.2550000000000003E-2</v>
      </c>
      <c r="D347" s="683"/>
      <c r="E347" s="683">
        <v>1.5</v>
      </c>
      <c r="F347" s="683"/>
      <c r="G347" s="710"/>
      <c r="H347" s="285"/>
      <c r="I347" s="145"/>
      <c r="J347" s="145"/>
      <c r="K347" s="146"/>
      <c r="L347" s="145"/>
      <c r="M347" s="682"/>
      <c r="N347" s="116"/>
      <c r="O347" s="116"/>
    </row>
    <row r="348" spans="1:15" ht="12.75" customHeight="1" x14ac:dyDescent="0.25">
      <c r="A348" s="116"/>
      <c r="B348" s="702"/>
      <c r="C348" s="692"/>
      <c r="D348" s="683">
        <f>(C349-C347)*1000</f>
        <v>10.339999999999995</v>
      </c>
      <c r="E348" s="683"/>
      <c r="F348" s="683">
        <f>(E347+E349)/2</f>
        <v>1.85</v>
      </c>
      <c r="G348" s="710">
        <f>F348*D348</f>
        <v>19.128999999999991</v>
      </c>
      <c r="H348" s="285"/>
      <c r="I348" s="145"/>
      <c r="J348" s="145"/>
      <c r="K348" s="146"/>
      <c r="L348" s="145"/>
      <c r="M348" s="682"/>
      <c r="N348" s="116"/>
      <c r="O348" s="116"/>
    </row>
    <row r="349" spans="1:15" ht="12.75" customHeight="1" x14ac:dyDescent="0.25">
      <c r="A349" s="116"/>
      <c r="B349" s="702" t="s">
        <v>122</v>
      </c>
      <c r="C349" s="692">
        <v>4.2889999999999998E-2</v>
      </c>
      <c r="D349" s="683"/>
      <c r="E349" s="683">
        <v>2.2000000000000002</v>
      </c>
      <c r="F349" s="683"/>
      <c r="G349" s="710"/>
      <c r="H349" s="285"/>
      <c r="I349" s="145"/>
      <c r="J349" s="145"/>
      <c r="K349" s="146"/>
      <c r="L349" s="145"/>
      <c r="M349" s="682"/>
      <c r="N349" s="116"/>
      <c r="O349" s="116"/>
    </row>
    <row r="350" spans="1:15" ht="12.75" customHeight="1" x14ac:dyDescent="0.25">
      <c r="A350" s="116"/>
      <c r="B350" s="702"/>
      <c r="C350" s="692"/>
      <c r="D350" s="683">
        <f>(C351-C349)*1000</f>
        <v>10.000000000000002</v>
      </c>
      <c r="E350" s="683"/>
      <c r="F350" s="683">
        <f>(E349+E351)/2</f>
        <v>3.6</v>
      </c>
      <c r="G350" s="710">
        <f>F350*D350</f>
        <v>36.000000000000007</v>
      </c>
      <c r="H350" s="285"/>
      <c r="I350" s="145"/>
      <c r="J350" s="145"/>
      <c r="K350" s="146"/>
      <c r="L350" s="145"/>
      <c r="M350" s="682"/>
      <c r="N350" s="116"/>
      <c r="O350" s="116"/>
    </row>
    <row r="351" spans="1:15" ht="12.75" customHeight="1" x14ac:dyDescent="0.25">
      <c r="A351" s="116"/>
      <c r="B351" s="702" t="s">
        <v>123</v>
      </c>
      <c r="C351" s="692">
        <v>5.289E-2</v>
      </c>
      <c r="D351" s="683"/>
      <c r="E351" s="683">
        <v>5</v>
      </c>
      <c r="F351" s="683"/>
      <c r="G351" s="710"/>
      <c r="H351" s="285"/>
      <c r="I351" s="145"/>
      <c r="J351" s="145"/>
      <c r="K351" s="146"/>
      <c r="L351" s="145"/>
      <c r="M351" s="682"/>
      <c r="N351" s="116"/>
      <c r="O351" s="116"/>
    </row>
    <row r="352" spans="1:15" ht="12.75" customHeight="1" x14ac:dyDescent="0.25">
      <c r="A352" s="116"/>
      <c r="B352" s="702"/>
      <c r="C352" s="692"/>
      <c r="D352" s="683">
        <f>(C353-C351)*1000</f>
        <v>10.000000000000002</v>
      </c>
      <c r="E352" s="683"/>
      <c r="F352" s="683">
        <f>(E351+E353)/2</f>
        <v>11.5</v>
      </c>
      <c r="G352" s="710">
        <f>F352*D352</f>
        <v>115.00000000000001</v>
      </c>
      <c r="H352" s="285"/>
      <c r="I352" s="145"/>
      <c r="J352" s="145"/>
      <c r="K352" s="146"/>
      <c r="L352" s="145"/>
      <c r="M352" s="682"/>
      <c r="N352" s="116"/>
      <c r="O352" s="116"/>
    </row>
    <row r="353" spans="1:15" ht="12.75" customHeight="1" x14ac:dyDescent="0.25">
      <c r="A353" s="116"/>
      <c r="B353" s="702" t="s">
        <v>124</v>
      </c>
      <c r="C353" s="692">
        <v>6.2890000000000001E-2</v>
      </c>
      <c r="D353" s="683"/>
      <c r="E353" s="683">
        <v>18</v>
      </c>
      <c r="F353" s="683"/>
      <c r="G353" s="710"/>
      <c r="H353" s="285"/>
      <c r="I353" s="145"/>
      <c r="J353" s="145"/>
      <c r="K353" s="146"/>
      <c r="L353" s="145"/>
      <c r="M353" s="682"/>
      <c r="N353" s="116"/>
      <c r="O353" s="116"/>
    </row>
    <row r="354" spans="1:15" ht="12.75" customHeight="1" x14ac:dyDescent="0.25">
      <c r="A354" s="116"/>
      <c r="B354" s="702"/>
      <c r="C354" s="692"/>
      <c r="D354" s="683">
        <f>(C355-C353)*1000</f>
        <v>11.270000000000003</v>
      </c>
      <c r="E354" s="683"/>
      <c r="F354" s="683">
        <f>(E353+E355)/2</f>
        <v>16.5</v>
      </c>
      <c r="G354" s="710">
        <f>F354*D354</f>
        <v>185.95500000000004</v>
      </c>
      <c r="H354" s="285"/>
      <c r="I354" s="145"/>
      <c r="J354" s="145"/>
      <c r="K354" s="146"/>
      <c r="L354" s="145"/>
      <c r="M354" s="682"/>
      <c r="N354" s="116"/>
      <c r="O354" s="116"/>
    </row>
    <row r="355" spans="1:15" ht="12.75" customHeight="1" x14ac:dyDescent="0.25">
      <c r="A355" s="116"/>
      <c r="B355" s="387" t="s">
        <v>125</v>
      </c>
      <c r="C355" s="692">
        <v>7.4160000000000004E-2</v>
      </c>
      <c r="D355" s="683"/>
      <c r="E355" s="683">
        <v>15</v>
      </c>
      <c r="F355" s="683"/>
      <c r="G355" s="710"/>
      <c r="H355" s="285"/>
      <c r="I355" s="145"/>
      <c r="J355" s="145"/>
      <c r="K355" s="146"/>
      <c r="L355" s="145"/>
      <c r="M355" s="682"/>
      <c r="N355" s="116"/>
      <c r="O355" s="116"/>
    </row>
    <row r="356" spans="1:15" ht="12.75" customHeight="1" thickBot="1" x14ac:dyDescent="0.3">
      <c r="A356" s="116"/>
      <c r="B356" s="304"/>
      <c r="C356" s="744"/>
      <c r="D356" s="282">
        <f>SUM(D341:D355)</f>
        <v>74.16</v>
      </c>
      <c r="E356" s="745"/>
      <c r="F356" s="388"/>
      <c r="G356" s="389"/>
      <c r="H356" s="285"/>
      <c r="I356" s="145"/>
      <c r="J356" s="145"/>
      <c r="K356" s="146"/>
      <c r="L356" s="145"/>
      <c r="M356" s="682"/>
      <c r="N356" s="116"/>
      <c r="O356" s="116"/>
    </row>
    <row r="357" spans="1:15" ht="12.75" customHeight="1" thickBot="1" x14ac:dyDescent="0.3">
      <c r="A357" s="116"/>
      <c r="B357" s="333" t="s">
        <v>127</v>
      </c>
      <c r="C357" s="264"/>
      <c r="D357" s="6"/>
      <c r="E357" s="7"/>
      <c r="F357" s="6"/>
      <c r="G357" s="334">
        <f>SUM(G341:G355)</f>
        <v>398.16400000000004</v>
      </c>
      <c r="H357" s="285"/>
      <c r="I357" s="145"/>
      <c r="J357" s="145"/>
      <c r="K357" s="146"/>
      <c r="L357" s="145"/>
      <c r="M357" s="682"/>
      <c r="N357" s="116"/>
      <c r="O357" s="116"/>
    </row>
    <row r="358" spans="1:15" ht="12.75" customHeight="1" x14ac:dyDescent="0.25">
      <c r="A358" s="116"/>
      <c r="B358" s="368" t="s">
        <v>447</v>
      </c>
      <c r="C358" s="11"/>
      <c r="D358" s="324"/>
      <c r="E358" s="285"/>
      <c r="F358" s="324"/>
      <c r="G358" s="324"/>
      <c r="H358" s="285"/>
      <c r="I358" s="145"/>
      <c r="J358" s="145"/>
      <c r="K358" s="146"/>
      <c r="L358" s="145"/>
      <c r="M358" s="682"/>
      <c r="N358" s="116"/>
      <c r="O358" s="116"/>
    </row>
    <row r="359" spans="1:15" ht="12.75" customHeight="1" x14ac:dyDescent="0.25">
      <c r="A359" s="116"/>
      <c r="B359" s="390" t="s">
        <v>154</v>
      </c>
      <c r="C359" s="14"/>
      <c r="D359" s="51"/>
      <c r="E359" s="55"/>
      <c r="F359" s="51"/>
      <c r="G359" s="51"/>
      <c r="H359" s="55"/>
      <c r="I359" s="149"/>
      <c r="J359" s="149"/>
      <c r="K359" s="150"/>
      <c r="L359" s="145"/>
      <c r="M359" s="682"/>
      <c r="N359" s="116"/>
      <c r="O359" s="116"/>
    </row>
    <row r="360" spans="1:15" ht="12.75" customHeight="1" x14ac:dyDescent="0.25">
      <c r="A360" s="116"/>
      <c r="B360" s="56" t="s">
        <v>155</v>
      </c>
      <c r="C360" s="14"/>
      <c r="D360" s="51"/>
      <c r="E360" s="55"/>
      <c r="F360" s="51"/>
      <c r="G360" s="51"/>
      <c r="H360" s="55"/>
      <c r="I360" s="149"/>
      <c r="J360" s="149"/>
      <c r="K360" s="150"/>
      <c r="L360" s="145"/>
      <c r="M360" s="682"/>
      <c r="N360" s="116"/>
      <c r="O360" s="116"/>
    </row>
    <row r="361" spans="1:15" ht="12.75" customHeight="1" x14ac:dyDescent="0.25">
      <c r="A361" s="116"/>
      <c r="B361" s="51" t="s">
        <v>31</v>
      </c>
      <c r="C361" s="391"/>
      <c r="D361" s="51">
        <v>0.3</v>
      </c>
      <c r="E361" s="51" t="s">
        <v>23</v>
      </c>
      <c r="F361" s="391"/>
      <c r="G361" s="51"/>
      <c r="H361" s="51"/>
      <c r="I361" s="149"/>
      <c r="J361" s="149"/>
      <c r="K361" s="150"/>
      <c r="L361" s="145"/>
      <c r="M361" s="682"/>
      <c r="N361" s="116"/>
      <c r="O361" s="116"/>
    </row>
    <row r="362" spans="1:15" ht="12.75" customHeight="1" x14ac:dyDescent="0.25">
      <c r="A362" s="116"/>
      <c r="B362" s="52" t="s">
        <v>30</v>
      </c>
      <c r="C362" s="392"/>
      <c r="D362" s="52">
        <v>0.6</v>
      </c>
      <c r="E362" s="52" t="s">
        <v>7</v>
      </c>
      <c r="F362" s="392"/>
      <c r="G362" s="52"/>
      <c r="H362" s="52"/>
      <c r="I362" s="149"/>
      <c r="J362" s="149"/>
      <c r="K362" s="150"/>
      <c r="L362" s="145"/>
      <c r="M362" s="682"/>
      <c r="N362" s="116"/>
      <c r="O362" s="116"/>
    </row>
    <row r="363" spans="1:15" ht="12.75" customHeight="1" x14ac:dyDescent="0.25">
      <c r="A363" s="116"/>
      <c r="B363" s="51" t="s">
        <v>22</v>
      </c>
      <c r="C363" s="391"/>
      <c r="D363" s="51"/>
      <c r="E363" s="51"/>
      <c r="F363" s="391"/>
      <c r="G363" s="281">
        <f>D362*D361</f>
        <v>0.18</v>
      </c>
      <c r="H363" s="51" t="s">
        <v>24</v>
      </c>
      <c r="I363" s="149"/>
      <c r="J363" s="149"/>
      <c r="K363" s="150"/>
      <c r="L363" s="145"/>
      <c r="M363" s="682"/>
      <c r="N363" s="116"/>
      <c r="O363" s="116"/>
    </row>
    <row r="364" spans="1:15" ht="12.75" customHeight="1" x14ac:dyDescent="0.25">
      <c r="A364" s="116"/>
      <c r="B364" s="51"/>
      <c r="C364" s="391"/>
      <c r="D364" s="51"/>
      <c r="E364" s="51"/>
      <c r="F364" s="391"/>
      <c r="G364" s="51"/>
      <c r="H364" s="51"/>
      <c r="I364" s="149"/>
      <c r="J364" s="149"/>
      <c r="K364" s="150"/>
      <c r="L364" s="145"/>
      <c r="M364" s="682"/>
      <c r="N364" s="116"/>
      <c r="O364" s="116"/>
    </row>
    <row r="365" spans="1:15" ht="12.75" customHeight="1" x14ac:dyDescent="0.25">
      <c r="A365" s="116"/>
      <c r="B365" s="51" t="s">
        <v>753</v>
      </c>
      <c r="C365" s="391"/>
      <c r="D365" s="51"/>
      <c r="E365" s="51"/>
      <c r="F365" s="391"/>
      <c r="G365" s="51"/>
      <c r="H365" s="51"/>
      <c r="I365" s="149"/>
      <c r="J365" s="149"/>
      <c r="K365" s="150"/>
      <c r="L365" s="145"/>
      <c r="M365" s="682"/>
      <c r="N365" s="116"/>
      <c r="O365" s="116"/>
    </row>
    <row r="366" spans="1:15" ht="12.75" customHeight="1" x14ac:dyDescent="0.25">
      <c r="A366" s="116"/>
      <c r="B366" s="51" t="s">
        <v>22</v>
      </c>
      <c r="C366" s="391"/>
      <c r="D366" s="51">
        <v>0.2</v>
      </c>
      <c r="E366" s="51" t="s">
        <v>24</v>
      </c>
      <c r="F366" s="391"/>
      <c r="G366" s="51"/>
      <c r="H366" s="51"/>
      <c r="I366" s="149"/>
      <c r="J366" s="149"/>
      <c r="K366" s="150"/>
      <c r="L366" s="145"/>
      <c r="M366" s="682"/>
      <c r="N366" s="116"/>
      <c r="O366" s="116"/>
    </row>
    <row r="367" spans="1:15" ht="12.75" customHeight="1" x14ac:dyDescent="0.25">
      <c r="A367" s="116"/>
      <c r="B367" s="52" t="s">
        <v>237</v>
      </c>
      <c r="C367" s="392"/>
      <c r="D367" s="52">
        <v>64</v>
      </c>
      <c r="E367" s="52" t="s">
        <v>40</v>
      </c>
      <c r="F367" s="392"/>
      <c r="G367" s="52"/>
      <c r="H367" s="52"/>
      <c r="I367" s="149"/>
      <c r="J367" s="145"/>
      <c r="K367" s="166"/>
      <c r="L367" s="145"/>
      <c r="M367" s="682"/>
      <c r="N367" s="116"/>
      <c r="O367" s="116"/>
    </row>
    <row r="368" spans="1:15" ht="12.75" customHeight="1" thickBot="1" x14ac:dyDescent="0.3">
      <c r="A368" s="116"/>
      <c r="B368" s="51" t="s">
        <v>754</v>
      </c>
      <c r="C368" s="391"/>
      <c r="D368" s="51"/>
      <c r="E368" s="51"/>
      <c r="F368" s="391"/>
      <c r="G368" s="51">
        <f>D366*D367</f>
        <v>12.8</v>
      </c>
      <c r="H368" s="51" t="s">
        <v>24</v>
      </c>
      <c r="I368" s="149"/>
      <c r="J368" s="145"/>
      <c r="K368" s="166"/>
      <c r="L368" s="145"/>
      <c r="M368" s="682"/>
      <c r="N368" s="116"/>
      <c r="O368" s="116"/>
    </row>
    <row r="369" spans="1:15" ht="12.75" customHeight="1" thickBot="1" x14ac:dyDescent="0.3">
      <c r="A369" s="116"/>
      <c r="B369" s="393" t="s">
        <v>59</v>
      </c>
      <c r="C369" s="394" t="s">
        <v>156</v>
      </c>
      <c r="D369" s="6"/>
      <c r="E369" s="7"/>
      <c r="F369" s="6"/>
      <c r="G369" s="395">
        <f>SUM(G357:G368)</f>
        <v>411.14400000000006</v>
      </c>
      <c r="H369" s="396" t="s">
        <v>24</v>
      </c>
      <c r="I369" s="149"/>
      <c r="J369" s="145"/>
      <c r="K369" s="146"/>
      <c r="L369" s="145"/>
      <c r="M369" s="682"/>
      <c r="N369" s="116"/>
      <c r="O369" s="116"/>
    </row>
    <row r="370" spans="1:15" ht="12.75" customHeight="1" x14ac:dyDescent="0.25">
      <c r="A370" s="116"/>
      <c r="B370" s="41"/>
      <c r="C370" s="14"/>
      <c r="D370" s="14"/>
      <c r="E370" s="14"/>
      <c r="F370" s="14"/>
      <c r="G370" s="14"/>
      <c r="H370" s="14"/>
      <c r="I370" s="130"/>
      <c r="J370" s="116"/>
      <c r="K370" s="146"/>
      <c r="L370" s="145"/>
      <c r="M370" s="682"/>
      <c r="N370" s="116"/>
      <c r="O370" s="116"/>
    </row>
    <row r="371" spans="1:15" ht="12.75" customHeight="1" x14ac:dyDescent="0.25">
      <c r="A371" s="116"/>
      <c r="B371" s="403" t="s">
        <v>80</v>
      </c>
      <c r="C371" s="404" t="s">
        <v>157</v>
      </c>
      <c r="D371" s="404"/>
      <c r="E371" s="404"/>
      <c r="F371" s="401"/>
      <c r="G371" s="401"/>
      <c r="H371" s="56"/>
      <c r="I371" s="177"/>
      <c r="J371" s="116"/>
      <c r="K371" s="146"/>
      <c r="L371" s="145"/>
      <c r="M371" s="682"/>
      <c r="N371" s="116"/>
      <c r="O371" s="116"/>
    </row>
    <row r="372" spans="1:15" ht="12.75" customHeight="1" x14ac:dyDescent="0.25">
      <c r="A372" s="116"/>
      <c r="B372" s="390" t="s">
        <v>158</v>
      </c>
      <c r="C372" s="56" t="s">
        <v>78</v>
      </c>
      <c r="D372" s="56"/>
      <c r="E372" s="56"/>
      <c r="F372" s="56"/>
      <c r="G372" s="397">
        <f>G262</f>
        <v>195.822</v>
      </c>
      <c r="H372" s="56" t="s">
        <v>24</v>
      </c>
      <c r="I372" s="177"/>
      <c r="J372" s="116"/>
      <c r="K372" s="146"/>
      <c r="L372" s="145"/>
      <c r="M372" s="682"/>
      <c r="N372" s="116"/>
      <c r="O372" s="116"/>
    </row>
    <row r="373" spans="1:15" ht="12.75" customHeight="1" x14ac:dyDescent="0.25">
      <c r="A373" s="116"/>
      <c r="B373" s="390" t="s">
        <v>159</v>
      </c>
      <c r="C373" s="56" t="s">
        <v>160</v>
      </c>
      <c r="D373" s="56"/>
      <c r="E373" s="56"/>
      <c r="F373" s="56"/>
      <c r="G373" s="397">
        <f>G332</f>
        <v>5796.9752000000008</v>
      </c>
      <c r="H373" s="56" t="s">
        <v>24</v>
      </c>
      <c r="I373" s="177"/>
      <c r="J373" s="116"/>
      <c r="K373" s="146"/>
      <c r="L373" s="145"/>
      <c r="M373" s="682"/>
      <c r="N373" s="116"/>
      <c r="O373" s="116"/>
    </row>
    <row r="374" spans="1:15" ht="12.75" customHeight="1" x14ac:dyDescent="0.25">
      <c r="A374" s="116"/>
      <c r="B374" s="398" t="s">
        <v>149</v>
      </c>
      <c r="C374" s="399" t="s">
        <v>86</v>
      </c>
      <c r="D374" s="399"/>
      <c r="E374" s="399"/>
      <c r="F374" s="399"/>
      <c r="G374" s="400">
        <f>G369</f>
        <v>411.14400000000006</v>
      </c>
      <c r="H374" s="399" t="s">
        <v>24</v>
      </c>
      <c r="I374" s="177"/>
      <c r="J374" s="116"/>
      <c r="K374" s="146"/>
      <c r="L374" s="145"/>
      <c r="M374" s="682"/>
      <c r="N374" s="116"/>
      <c r="O374" s="116"/>
    </row>
    <row r="375" spans="1:15" ht="12.75" customHeight="1" x14ac:dyDescent="0.25">
      <c r="A375" s="116"/>
      <c r="B375" s="56" t="s">
        <v>162</v>
      </c>
      <c r="C375" s="56"/>
      <c r="D375" s="56"/>
      <c r="E375" s="56"/>
      <c r="F375" s="56"/>
      <c r="G375" s="402">
        <f>SUM(G372:G374)</f>
        <v>6403.9412000000011</v>
      </c>
      <c r="H375" s="401" t="s">
        <v>24</v>
      </c>
      <c r="I375" s="177"/>
      <c r="J375" s="116"/>
      <c r="K375" s="146"/>
      <c r="L375" s="145"/>
      <c r="M375" s="682"/>
      <c r="N375" s="116"/>
      <c r="O375" s="116"/>
    </row>
    <row r="376" spans="1:15" ht="12.75" customHeight="1" x14ac:dyDescent="0.25">
      <c r="A376" s="116"/>
      <c r="B376" s="56"/>
      <c r="C376" s="56"/>
      <c r="D376" s="56"/>
      <c r="E376" s="56"/>
      <c r="F376" s="56"/>
      <c r="G376" s="402"/>
      <c r="H376" s="401"/>
      <c r="I376" s="177"/>
      <c r="J376" s="116"/>
      <c r="K376" s="439"/>
      <c r="L376" s="145"/>
      <c r="M376" s="682"/>
      <c r="N376" s="116"/>
      <c r="O376" s="116"/>
    </row>
    <row r="377" spans="1:15" ht="12.75" customHeight="1" x14ac:dyDescent="0.25">
      <c r="A377" s="116"/>
      <c r="B377" s="56" t="s">
        <v>654</v>
      </c>
      <c r="C377" s="56" t="s">
        <v>655</v>
      </c>
      <c r="D377" s="56"/>
      <c r="E377" s="56"/>
      <c r="F377" s="56"/>
      <c r="G377" s="402"/>
      <c r="H377" s="401"/>
      <c r="I377" s="177"/>
      <c r="J377" s="116"/>
      <c r="K377" s="439"/>
      <c r="L377" s="145"/>
      <c r="M377" s="682"/>
      <c r="N377" s="116"/>
      <c r="O377" s="116"/>
    </row>
    <row r="378" spans="1:15" ht="12.75" customHeight="1" x14ac:dyDescent="0.25">
      <c r="A378" s="116"/>
      <c r="B378" s="56" t="s">
        <v>656</v>
      </c>
      <c r="C378" s="51"/>
      <c r="D378" s="51"/>
      <c r="E378" s="51"/>
      <c r="F378" s="51"/>
      <c r="G378" s="51"/>
      <c r="H378" s="51"/>
      <c r="I378" s="177"/>
      <c r="J378" s="116"/>
      <c r="K378" s="439"/>
      <c r="L378" s="145"/>
      <c r="M378" s="682"/>
      <c r="N378" s="116"/>
      <c r="O378" s="116"/>
    </row>
    <row r="379" spans="1:15" ht="12.75" customHeight="1" x14ac:dyDescent="0.25">
      <c r="A379" s="116"/>
      <c r="B379" s="56" t="s">
        <v>22</v>
      </c>
      <c r="C379" s="51" t="s">
        <v>657</v>
      </c>
      <c r="D379" s="51"/>
      <c r="E379" s="51">
        <f>1.2*0.6*1.5</f>
        <v>1.08</v>
      </c>
      <c r="F379" s="51" t="s">
        <v>24</v>
      </c>
      <c r="G379" s="51"/>
      <c r="H379" s="51"/>
      <c r="I379" s="177"/>
      <c r="J379" s="116"/>
      <c r="K379" s="439"/>
      <c r="L379" s="145"/>
      <c r="M379" s="682"/>
      <c r="N379" s="116"/>
      <c r="O379" s="116"/>
    </row>
    <row r="380" spans="1:15" ht="12.75" customHeight="1" x14ac:dyDescent="0.25">
      <c r="A380" s="116"/>
      <c r="B380" s="399" t="s">
        <v>237</v>
      </c>
      <c r="C380" s="52" t="s">
        <v>658</v>
      </c>
      <c r="D380" s="52" t="s">
        <v>40</v>
      </c>
      <c r="E380" s="52"/>
      <c r="F380" s="52"/>
      <c r="G380" s="52"/>
      <c r="H380" s="52"/>
      <c r="I380" s="177"/>
      <c r="J380" s="116"/>
      <c r="K380" s="439"/>
      <c r="L380" s="145"/>
      <c r="M380" s="682"/>
      <c r="N380" s="116"/>
      <c r="O380" s="116"/>
    </row>
    <row r="381" spans="1:15" ht="12.75" customHeight="1" x14ac:dyDescent="0.25">
      <c r="A381" s="116"/>
      <c r="B381" s="56" t="s">
        <v>659</v>
      </c>
      <c r="C381" s="56"/>
      <c r="D381" s="56"/>
      <c r="E381" s="483"/>
      <c r="F381" s="483"/>
      <c r="G381" s="483">
        <f>E379*C380</f>
        <v>4.32</v>
      </c>
      <c r="H381" s="483" t="s">
        <v>24</v>
      </c>
      <c r="I381" s="177"/>
      <c r="J381" s="116"/>
      <c r="K381" s="439"/>
      <c r="L381" s="145"/>
      <c r="M381" s="682"/>
      <c r="N381" s="116"/>
      <c r="O381" s="116"/>
    </row>
    <row r="382" spans="1:15" ht="12.75" customHeight="1" x14ac:dyDescent="0.25">
      <c r="A382" s="116"/>
      <c r="B382" s="56" t="s">
        <v>660</v>
      </c>
      <c r="C382" s="56"/>
      <c r="D382" s="56"/>
      <c r="E382" s="483"/>
      <c r="F382" s="483"/>
      <c r="G382" s="483"/>
      <c r="H382" s="483"/>
      <c r="I382" s="177"/>
      <c r="J382" s="116"/>
      <c r="K382" s="439"/>
      <c r="L382" s="145"/>
      <c r="M382" s="682"/>
      <c r="N382" s="116"/>
      <c r="O382" s="116"/>
    </row>
    <row r="383" spans="1:15" ht="12.75" customHeight="1" x14ac:dyDescent="0.25">
      <c r="A383" s="116"/>
      <c r="B383" s="56" t="s">
        <v>22</v>
      </c>
      <c r="C383" s="56" t="s">
        <v>661</v>
      </c>
      <c r="D383" s="56"/>
      <c r="E383" s="483">
        <f>1.2*0.6*1.2</f>
        <v>0.86399999999999999</v>
      </c>
      <c r="F383" s="483" t="s">
        <v>24</v>
      </c>
      <c r="G383" s="483"/>
      <c r="H383" s="483"/>
      <c r="I383" s="177"/>
      <c r="J383" s="116"/>
      <c r="K383" s="439"/>
      <c r="L383" s="145"/>
      <c r="M383" s="682"/>
      <c r="N383" s="116"/>
      <c r="O383" s="116"/>
    </row>
    <row r="384" spans="1:15" ht="12.75" customHeight="1" x14ac:dyDescent="0.25">
      <c r="A384" s="116"/>
      <c r="B384" s="56" t="s">
        <v>237</v>
      </c>
      <c r="C384" s="56">
        <v>2</v>
      </c>
      <c r="D384" s="56" t="s">
        <v>40</v>
      </c>
      <c r="E384" s="483"/>
      <c r="F384" s="483"/>
      <c r="G384" s="483"/>
      <c r="H384" s="483"/>
      <c r="I384" s="56"/>
      <c r="J384" s="116"/>
      <c r="K384" s="439"/>
      <c r="L384" s="145"/>
      <c r="M384" s="682"/>
      <c r="N384" s="116"/>
      <c r="O384" s="116"/>
    </row>
    <row r="385" spans="1:15" ht="12.75" customHeight="1" x14ac:dyDescent="0.25">
      <c r="A385" s="116"/>
      <c r="B385" s="399" t="s">
        <v>659</v>
      </c>
      <c r="C385" s="399"/>
      <c r="D385" s="399"/>
      <c r="E385" s="484"/>
      <c r="F385" s="484"/>
      <c r="G385" s="485">
        <f>E383*C384</f>
        <v>1.728</v>
      </c>
      <c r="H385" s="484" t="s">
        <v>24</v>
      </c>
      <c r="I385" s="56"/>
      <c r="J385" s="116"/>
      <c r="K385" s="439"/>
      <c r="L385" s="145"/>
      <c r="M385" s="682"/>
      <c r="N385" s="116"/>
      <c r="O385" s="116"/>
    </row>
    <row r="386" spans="1:15" ht="12.75" customHeight="1" x14ac:dyDescent="0.25">
      <c r="A386" s="116"/>
      <c r="B386" s="56" t="s">
        <v>662</v>
      </c>
      <c r="C386" s="56"/>
      <c r="D386" s="56"/>
      <c r="E386" s="483"/>
      <c r="F386" s="483"/>
      <c r="G386" s="397">
        <f>SUM(G381:G385)</f>
        <v>6.048</v>
      </c>
      <c r="H386" s="483"/>
      <c r="I386" s="56"/>
      <c r="J386" s="116"/>
      <c r="K386" s="439"/>
      <c r="L386" s="145"/>
      <c r="M386" s="682"/>
      <c r="N386" s="116"/>
      <c r="O386" s="116"/>
    </row>
    <row r="387" spans="1:15" ht="12.75" customHeight="1" x14ac:dyDescent="0.25">
      <c r="A387" s="116"/>
      <c r="B387" s="56"/>
      <c r="C387" s="56"/>
      <c r="D387" s="56"/>
      <c r="E387" s="483"/>
      <c r="F387" s="483"/>
      <c r="G387" s="402"/>
      <c r="H387" s="402"/>
      <c r="I387" s="177"/>
      <c r="J387" s="116"/>
      <c r="K387" s="439"/>
      <c r="L387" s="145"/>
      <c r="M387" s="682"/>
      <c r="N387" s="116"/>
      <c r="O387" s="116"/>
    </row>
    <row r="388" spans="1:15" ht="12.75" customHeight="1" x14ac:dyDescent="0.25">
      <c r="A388" s="116"/>
      <c r="B388" s="407" t="s">
        <v>90</v>
      </c>
      <c r="C388" s="290" t="s">
        <v>91</v>
      </c>
      <c r="D388" s="290"/>
      <c r="E388" s="290"/>
      <c r="F388" s="290"/>
      <c r="G388" s="14"/>
      <c r="H388" s="14"/>
      <c r="I388" s="14"/>
      <c r="J388" s="116"/>
      <c r="K388" s="146"/>
      <c r="L388" s="145"/>
      <c r="M388" s="682"/>
      <c r="N388" s="116"/>
      <c r="O388" s="116"/>
    </row>
    <row r="389" spans="1:15" ht="12.75" customHeight="1" x14ac:dyDescent="0.25">
      <c r="A389" s="116"/>
      <c r="B389" s="14"/>
      <c r="C389" s="14" t="s">
        <v>448</v>
      </c>
      <c r="D389" s="14"/>
      <c r="E389" s="14"/>
      <c r="F389" s="14"/>
      <c r="G389" s="14"/>
      <c r="H389" s="14"/>
      <c r="I389" s="14"/>
      <c r="J389" s="116"/>
      <c r="K389" s="146"/>
      <c r="L389" s="145"/>
      <c r="M389" s="682"/>
      <c r="N389" s="116"/>
      <c r="O389" s="116"/>
    </row>
    <row r="390" spans="1:15" ht="12.75" customHeight="1" x14ac:dyDescent="0.25">
      <c r="A390" s="116"/>
      <c r="B390" s="14"/>
      <c r="C390" s="14" t="s">
        <v>92</v>
      </c>
      <c r="D390" s="14"/>
      <c r="E390" s="14"/>
      <c r="F390" s="14">
        <v>1.8</v>
      </c>
      <c r="G390" s="14" t="s">
        <v>23</v>
      </c>
      <c r="H390" s="14"/>
      <c r="I390" s="14"/>
      <c r="J390" s="116"/>
      <c r="K390" s="146"/>
      <c r="L390" s="145"/>
      <c r="M390" s="682"/>
      <c r="N390" s="116"/>
      <c r="O390" s="116"/>
    </row>
    <row r="391" spans="1:15" ht="12.75" customHeight="1" x14ac:dyDescent="0.25">
      <c r="A391" s="116"/>
      <c r="B391" s="14"/>
      <c r="C391" s="14" t="s">
        <v>610</v>
      </c>
      <c r="D391" s="14"/>
      <c r="E391" s="14"/>
      <c r="F391" s="14">
        <v>6</v>
      </c>
      <c r="G391" s="14" t="s">
        <v>7</v>
      </c>
      <c r="H391" s="14"/>
      <c r="I391" s="14"/>
      <c r="J391" s="116"/>
      <c r="K391" s="166"/>
      <c r="L391" s="145"/>
      <c r="M391" s="682"/>
      <c r="N391" s="116"/>
      <c r="O391" s="116"/>
    </row>
    <row r="392" spans="1:15" ht="12.75" customHeight="1" x14ac:dyDescent="0.25">
      <c r="A392" s="116"/>
      <c r="B392" s="14"/>
      <c r="C392" s="14" t="s">
        <v>611</v>
      </c>
      <c r="D392" s="14"/>
      <c r="E392" s="14"/>
      <c r="F392" s="14">
        <v>36</v>
      </c>
      <c r="G392" s="14" t="s">
        <v>7</v>
      </c>
      <c r="H392" s="14"/>
      <c r="I392" s="14"/>
      <c r="J392" s="116"/>
      <c r="K392" s="166"/>
      <c r="L392" s="145"/>
      <c r="M392" s="682"/>
      <c r="N392" s="116"/>
      <c r="O392" s="116"/>
    </row>
    <row r="393" spans="1:15" ht="12.75" customHeight="1" x14ac:dyDescent="0.25">
      <c r="A393" s="116"/>
      <c r="B393" s="14"/>
      <c r="C393" s="120" t="s">
        <v>495</v>
      </c>
      <c r="D393" s="120"/>
      <c r="E393" s="120">
        <f>F391+F392</f>
        <v>42</v>
      </c>
      <c r="F393" s="120" t="s">
        <v>7</v>
      </c>
      <c r="G393" s="120"/>
      <c r="H393" s="17"/>
      <c r="I393" s="17"/>
      <c r="J393" s="116"/>
      <c r="K393" s="146"/>
      <c r="L393" s="145"/>
      <c r="M393" s="682"/>
      <c r="N393" s="116"/>
      <c r="O393" s="116"/>
    </row>
    <row r="394" spans="1:15" ht="12.75" customHeight="1" x14ac:dyDescent="0.25">
      <c r="A394" s="116"/>
      <c r="B394" s="14"/>
      <c r="C394" s="14" t="s">
        <v>22</v>
      </c>
      <c r="D394" s="14"/>
      <c r="E394" s="14"/>
      <c r="F394" s="14"/>
      <c r="G394" s="38"/>
      <c r="H394" s="14">
        <f>F390*E393</f>
        <v>75.600000000000009</v>
      </c>
      <c r="I394" s="14" t="s">
        <v>24</v>
      </c>
      <c r="J394" s="116"/>
      <c r="K394" s="146"/>
      <c r="L394" s="145"/>
      <c r="M394" s="682"/>
      <c r="N394" s="116"/>
      <c r="O394" s="116"/>
    </row>
    <row r="395" spans="1:15" ht="12.75" customHeight="1" x14ac:dyDescent="0.25">
      <c r="A395" s="116"/>
      <c r="B395" s="14"/>
      <c r="C395" s="14" t="s">
        <v>93</v>
      </c>
      <c r="D395" s="14"/>
      <c r="E395" s="14"/>
      <c r="F395" s="14"/>
      <c r="G395" s="38"/>
      <c r="H395" s="14"/>
      <c r="I395" s="14"/>
      <c r="J395" s="116"/>
      <c r="K395" s="146"/>
      <c r="L395" s="145"/>
      <c r="M395" s="682"/>
      <c r="N395" s="116"/>
      <c r="O395" s="116"/>
    </row>
    <row r="396" spans="1:15" ht="12.75" customHeight="1" x14ac:dyDescent="0.25">
      <c r="A396" s="116"/>
      <c r="B396" s="14"/>
      <c r="C396" s="14" t="s">
        <v>163</v>
      </c>
      <c r="D396" s="14"/>
      <c r="E396" s="408">
        <f>G261</f>
        <v>13.76</v>
      </c>
      <c r="F396" s="14" t="s">
        <v>24</v>
      </c>
      <c r="G396" s="38"/>
      <c r="H396" s="14"/>
      <c r="I396" s="14"/>
      <c r="J396" s="116"/>
      <c r="K396" s="146"/>
      <c r="L396" s="145"/>
      <c r="M396" s="682"/>
      <c r="N396" s="116"/>
      <c r="O396" s="116"/>
    </row>
    <row r="397" spans="1:15" ht="12.75" customHeight="1" x14ac:dyDescent="0.25">
      <c r="A397" s="116"/>
      <c r="B397" s="14"/>
      <c r="C397" s="17" t="s">
        <v>89</v>
      </c>
      <c r="D397" s="17"/>
      <c r="E397" s="409">
        <v>2.2999999999999998</v>
      </c>
      <c r="F397" s="17" t="s">
        <v>24</v>
      </c>
      <c r="G397" s="17"/>
      <c r="H397" s="17"/>
      <c r="I397" s="17"/>
      <c r="J397" s="116"/>
      <c r="K397" s="146"/>
      <c r="L397" s="145"/>
      <c r="M397" s="682"/>
      <c r="N397" s="116"/>
      <c r="O397" s="116"/>
    </row>
    <row r="398" spans="1:15" ht="12.75" customHeight="1" x14ac:dyDescent="0.25">
      <c r="A398" s="116"/>
      <c r="B398" s="14"/>
      <c r="C398" s="14" t="s">
        <v>22</v>
      </c>
      <c r="D398" s="14"/>
      <c r="E398" s="14"/>
      <c r="F398" s="14"/>
      <c r="G398" s="38"/>
      <c r="H398" s="408">
        <f>E396-E397</f>
        <v>11.46</v>
      </c>
      <c r="I398" s="14" t="s">
        <v>24</v>
      </c>
      <c r="J398" s="116"/>
      <c r="K398" s="146"/>
      <c r="L398" s="145"/>
      <c r="M398" s="682"/>
      <c r="N398" s="116"/>
      <c r="O398" s="116"/>
    </row>
    <row r="399" spans="1:15" ht="12.75" customHeight="1" x14ac:dyDescent="0.25">
      <c r="A399" s="116"/>
      <c r="B399" s="390"/>
      <c r="C399" s="14" t="s">
        <v>164</v>
      </c>
      <c r="D399" s="51"/>
      <c r="E399" s="55"/>
      <c r="F399" s="51"/>
      <c r="G399" s="51"/>
      <c r="H399" s="55"/>
      <c r="I399" s="51"/>
      <c r="J399" s="145"/>
      <c r="K399" s="146"/>
      <c r="L399" s="145"/>
      <c r="M399" s="682"/>
      <c r="N399" s="116"/>
      <c r="O399" s="116"/>
    </row>
    <row r="400" spans="1:15" ht="12.75" customHeight="1" x14ac:dyDescent="0.25">
      <c r="A400" s="116"/>
      <c r="B400" s="390"/>
      <c r="C400" s="14" t="s">
        <v>21</v>
      </c>
      <c r="D400" s="51"/>
      <c r="E400" s="408">
        <v>2.4</v>
      </c>
      <c r="F400" s="408" t="s">
        <v>23</v>
      </c>
      <c r="G400" s="408"/>
      <c r="H400" s="408"/>
      <c r="I400" s="408"/>
      <c r="J400" s="145"/>
      <c r="K400" s="146"/>
      <c r="L400" s="145"/>
      <c r="M400" s="682"/>
      <c r="N400" s="116"/>
      <c r="O400" s="116"/>
    </row>
    <row r="401" spans="1:15" ht="12.75" customHeight="1" x14ac:dyDescent="0.25">
      <c r="A401" s="116"/>
      <c r="B401" s="390"/>
      <c r="C401" s="17" t="s">
        <v>26</v>
      </c>
      <c r="D401" s="52"/>
      <c r="E401" s="408">
        <v>8</v>
      </c>
      <c r="F401" s="408" t="s">
        <v>23</v>
      </c>
      <c r="G401" s="408"/>
      <c r="H401" s="408"/>
      <c r="I401" s="408"/>
      <c r="J401" s="145"/>
      <c r="K401" s="146"/>
      <c r="L401" s="145"/>
      <c r="M401" s="682"/>
      <c r="N401" s="116"/>
      <c r="O401" s="116"/>
    </row>
    <row r="402" spans="1:15" ht="12.75" customHeight="1" x14ac:dyDescent="0.25">
      <c r="A402" s="116"/>
      <c r="B402" s="390"/>
      <c r="C402" s="14" t="s">
        <v>22</v>
      </c>
      <c r="D402" s="51"/>
      <c r="E402" s="408"/>
      <c r="F402" s="408"/>
      <c r="G402" s="408"/>
      <c r="H402" s="408">
        <f>E400*E401</f>
        <v>19.2</v>
      </c>
      <c r="I402" s="408" t="s">
        <v>24</v>
      </c>
      <c r="J402" s="145"/>
      <c r="K402" s="166"/>
      <c r="L402" s="145"/>
      <c r="M402" s="682"/>
      <c r="N402" s="116"/>
      <c r="O402" s="116"/>
    </row>
    <row r="403" spans="1:15" ht="12.75" customHeight="1" x14ac:dyDescent="0.25">
      <c r="A403" s="116"/>
      <c r="B403" s="390"/>
      <c r="C403" s="5"/>
      <c r="D403" s="5"/>
      <c r="E403" s="408"/>
      <c r="F403" s="408"/>
      <c r="G403" s="408"/>
      <c r="H403" s="408"/>
      <c r="I403" s="408"/>
      <c r="K403" s="146"/>
      <c r="L403" s="145"/>
      <c r="M403" s="682"/>
      <c r="N403" s="116"/>
      <c r="O403" s="116"/>
    </row>
    <row r="404" spans="1:15" ht="12.75" customHeight="1" x14ac:dyDescent="0.25">
      <c r="A404" s="116"/>
      <c r="B404" s="390"/>
      <c r="C404" s="14" t="s">
        <v>397</v>
      </c>
      <c r="D404" s="51"/>
      <c r="E404" s="408"/>
      <c r="F404" s="408"/>
      <c r="G404" s="408"/>
      <c r="H404" s="408"/>
      <c r="I404" s="408"/>
      <c r="J404" s="145"/>
      <c r="K404" s="146"/>
      <c r="L404" s="145"/>
      <c r="M404" s="682"/>
      <c r="N404" s="116"/>
      <c r="O404" s="116"/>
    </row>
    <row r="405" spans="1:15" ht="12.75" customHeight="1" x14ac:dyDescent="0.25">
      <c r="A405" s="116"/>
      <c r="B405" s="390"/>
      <c r="C405" s="14" t="s">
        <v>21</v>
      </c>
      <c r="D405" s="51"/>
      <c r="E405" s="408">
        <v>3.8</v>
      </c>
      <c r="F405" s="408" t="s">
        <v>23</v>
      </c>
      <c r="G405" s="408"/>
      <c r="H405" s="408"/>
      <c r="I405" s="408"/>
      <c r="J405" s="145"/>
      <c r="K405" s="146"/>
      <c r="L405" s="145"/>
      <c r="M405" s="682"/>
      <c r="N405" s="116"/>
      <c r="O405" s="116"/>
    </row>
    <row r="406" spans="1:15" ht="12.75" customHeight="1" x14ac:dyDescent="0.25">
      <c r="A406" s="116"/>
      <c r="B406" s="390"/>
      <c r="C406" s="17" t="s">
        <v>608</v>
      </c>
      <c r="D406" s="52"/>
      <c r="E406" s="408">
        <v>1</v>
      </c>
      <c r="F406" s="408"/>
      <c r="G406" s="408"/>
      <c r="H406" s="408"/>
      <c r="I406" s="408"/>
      <c r="J406" s="145"/>
      <c r="K406" s="146"/>
      <c r="L406" s="145"/>
      <c r="M406" s="682"/>
      <c r="N406" s="116"/>
      <c r="O406" s="116"/>
    </row>
    <row r="407" spans="1:15" ht="12.75" customHeight="1" x14ac:dyDescent="0.25">
      <c r="A407" s="116"/>
      <c r="B407" s="390"/>
      <c r="C407" s="14" t="s">
        <v>22</v>
      </c>
      <c r="D407" s="51"/>
      <c r="E407" s="408"/>
      <c r="F407" s="408"/>
      <c r="G407" s="408"/>
      <c r="H407" s="408">
        <f>E405*E406</f>
        <v>3.8</v>
      </c>
      <c r="I407" s="408" t="s">
        <v>24</v>
      </c>
      <c r="J407" s="145"/>
      <c r="K407" s="146"/>
      <c r="L407" s="145"/>
      <c r="M407" s="682"/>
      <c r="N407" s="116"/>
      <c r="O407" s="116"/>
    </row>
    <row r="408" spans="1:15" ht="12.75" customHeight="1" x14ac:dyDescent="0.25">
      <c r="A408" s="116"/>
      <c r="B408" s="390"/>
      <c r="C408" s="14"/>
      <c r="D408" s="51"/>
      <c r="E408" s="408"/>
      <c r="F408" s="408"/>
      <c r="G408" s="408"/>
      <c r="H408" s="408"/>
      <c r="I408" s="408"/>
      <c r="J408" s="145"/>
      <c r="K408" s="166"/>
      <c r="L408" s="145"/>
      <c r="M408" s="682"/>
      <c r="N408" s="116"/>
      <c r="O408" s="116"/>
    </row>
    <row r="409" spans="1:15" ht="12.75" customHeight="1" x14ac:dyDescent="0.25">
      <c r="A409" s="116"/>
      <c r="B409" s="390"/>
      <c r="C409" s="406" t="s">
        <v>755</v>
      </c>
      <c r="D409" s="51"/>
      <c r="E409" s="408"/>
      <c r="F409" s="408"/>
      <c r="G409" s="408"/>
      <c r="H409" s="408">
        <f>G386</f>
        <v>6.048</v>
      </c>
      <c r="I409" s="408" t="s">
        <v>24</v>
      </c>
      <c r="J409" s="145"/>
      <c r="K409" s="166"/>
      <c r="L409" s="145"/>
      <c r="M409" s="682"/>
      <c r="N409" s="116"/>
      <c r="O409" s="116"/>
    </row>
    <row r="410" spans="1:15" ht="12.75" customHeight="1" x14ac:dyDescent="0.25">
      <c r="A410" s="116"/>
      <c r="B410" s="390"/>
      <c r="C410" s="14"/>
      <c r="D410" s="51"/>
      <c r="E410" s="408"/>
      <c r="F410" s="408"/>
      <c r="G410" s="408"/>
      <c r="H410" s="408"/>
      <c r="I410" s="408"/>
      <c r="J410" s="145"/>
      <c r="K410" s="166"/>
      <c r="L410" s="145"/>
      <c r="M410" s="682"/>
      <c r="N410" s="116"/>
      <c r="O410" s="116"/>
    </row>
    <row r="411" spans="1:15" ht="12.75" customHeight="1" x14ac:dyDescent="0.25">
      <c r="A411" s="116"/>
      <c r="B411" s="390"/>
      <c r="C411" s="14" t="s">
        <v>664</v>
      </c>
      <c r="D411" s="51"/>
      <c r="E411" s="408"/>
      <c r="F411" s="408"/>
      <c r="G411" s="408"/>
      <c r="H411" s="408"/>
      <c r="I411" s="408"/>
      <c r="J411" s="145"/>
      <c r="K411" s="166"/>
      <c r="L411" s="145"/>
      <c r="M411" s="682"/>
      <c r="N411" s="116"/>
      <c r="O411" s="116"/>
    </row>
    <row r="412" spans="1:15" ht="12.75" customHeight="1" x14ac:dyDescent="0.25">
      <c r="A412" s="116"/>
      <c r="B412" s="390"/>
      <c r="C412" s="14" t="s">
        <v>398</v>
      </c>
      <c r="D412" s="51"/>
      <c r="E412" s="408"/>
      <c r="F412" s="408">
        <f>F229</f>
        <v>6</v>
      </c>
      <c r="G412" s="408"/>
      <c r="H412" s="408"/>
      <c r="I412" s="408" t="s">
        <v>24</v>
      </c>
      <c r="J412" s="145"/>
      <c r="K412" s="166"/>
      <c r="L412" s="145"/>
      <c r="M412" s="682"/>
      <c r="N412" s="116"/>
      <c r="O412" s="116"/>
    </row>
    <row r="413" spans="1:15" ht="12.75" customHeight="1" x14ac:dyDescent="0.25">
      <c r="A413" s="116"/>
      <c r="B413" s="390"/>
      <c r="C413" s="17" t="s">
        <v>609</v>
      </c>
      <c r="D413" s="52"/>
      <c r="E413" s="408"/>
      <c r="F413" s="408">
        <f>0.6*0.6*3.14*1.8</f>
        <v>2.0347200000000001</v>
      </c>
      <c r="G413" s="408"/>
      <c r="H413" s="408"/>
      <c r="I413" s="408"/>
      <c r="J413" s="145"/>
      <c r="K413" s="166"/>
      <c r="L413" s="145"/>
      <c r="M413" s="682"/>
      <c r="N413" s="116"/>
      <c r="O413" s="116"/>
    </row>
    <row r="414" spans="1:15" ht="12.75" customHeight="1" x14ac:dyDescent="0.25">
      <c r="A414" s="116"/>
      <c r="B414" s="390"/>
      <c r="C414" s="14" t="s">
        <v>59</v>
      </c>
      <c r="D414" s="51"/>
      <c r="E414" s="408"/>
      <c r="F414" s="408"/>
      <c r="G414" s="408"/>
      <c r="H414" s="408">
        <f>F412-F413</f>
        <v>3.9652799999999999</v>
      </c>
      <c r="I414" s="408" t="s">
        <v>24</v>
      </c>
      <c r="J414" s="145"/>
      <c r="K414" s="166"/>
      <c r="L414" s="145"/>
      <c r="M414" s="682"/>
      <c r="N414" s="116"/>
      <c r="O414" s="116"/>
    </row>
    <row r="415" spans="1:15" ht="12.75" customHeight="1" x14ac:dyDescent="0.25">
      <c r="A415" s="116"/>
      <c r="B415" s="390"/>
      <c r="C415" s="14" t="s">
        <v>663</v>
      </c>
      <c r="D415" s="51"/>
      <c r="E415" s="408"/>
      <c r="F415" s="408"/>
      <c r="G415" s="408"/>
      <c r="H415" s="408"/>
      <c r="I415" s="408"/>
      <c r="J415" s="145"/>
      <c r="K415" s="166"/>
      <c r="L415" s="145"/>
      <c r="M415" s="682"/>
      <c r="N415" s="116"/>
      <c r="O415" s="116"/>
    </row>
    <row r="416" spans="1:15" ht="12.75" customHeight="1" x14ac:dyDescent="0.25">
      <c r="A416" s="116"/>
      <c r="B416" s="390"/>
      <c r="C416" s="14" t="s">
        <v>92</v>
      </c>
      <c r="D416" s="14"/>
      <c r="E416" s="408"/>
      <c r="F416" s="408">
        <v>3.3</v>
      </c>
      <c r="G416" s="408" t="s">
        <v>23</v>
      </c>
      <c r="H416" s="408"/>
      <c r="I416" s="408"/>
      <c r="J416" s="145"/>
      <c r="K416" s="146"/>
      <c r="L416" s="145"/>
      <c r="M416" s="682"/>
      <c r="N416" s="116"/>
      <c r="O416" s="116"/>
    </row>
    <row r="417" spans="1:15" ht="12.75" customHeight="1" x14ac:dyDescent="0.25">
      <c r="A417" s="116"/>
      <c r="B417" s="390"/>
      <c r="C417" s="17" t="s">
        <v>26</v>
      </c>
      <c r="D417" s="17"/>
      <c r="E417" s="408"/>
      <c r="F417" s="408">
        <v>8</v>
      </c>
      <c r="G417" s="408" t="s">
        <v>7</v>
      </c>
      <c r="H417" s="408"/>
      <c r="I417" s="408"/>
      <c r="J417" s="145"/>
      <c r="K417" s="146"/>
      <c r="L417" s="145"/>
      <c r="M417" s="682"/>
      <c r="N417" s="116"/>
      <c r="O417" s="116"/>
    </row>
    <row r="418" spans="1:15" ht="12.75" customHeight="1" thickBot="1" x14ac:dyDescent="0.3">
      <c r="A418" s="116"/>
      <c r="B418" s="390"/>
      <c r="C418" s="14" t="s">
        <v>22</v>
      </c>
      <c r="D418" s="14"/>
      <c r="E418" s="14"/>
      <c r="F418" s="14"/>
      <c r="G418" s="38"/>
      <c r="H418" s="14">
        <f>F417*F416</f>
        <v>26.4</v>
      </c>
      <c r="I418" s="14" t="s">
        <v>24</v>
      </c>
      <c r="J418" s="145"/>
      <c r="K418" s="146"/>
      <c r="L418" s="145"/>
      <c r="M418" s="682"/>
      <c r="N418" s="116"/>
      <c r="O418" s="116"/>
    </row>
    <row r="419" spans="1:15" ht="12.75" customHeight="1" thickBot="1" x14ac:dyDescent="0.3">
      <c r="A419" s="116"/>
      <c r="B419" s="390"/>
      <c r="C419" s="379" t="s">
        <v>167</v>
      </c>
      <c r="D419" s="6"/>
      <c r="E419" s="7"/>
      <c r="F419" s="6"/>
      <c r="G419" s="6"/>
      <c r="H419" s="410">
        <f>SUM(H390:H418)</f>
        <v>146.47328000000002</v>
      </c>
      <c r="I419" s="8" t="s">
        <v>24</v>
      </c>
      <c r="J419" s="145"/>
      <c r="K419" s="146"/>
      <c r="L419" s="145"/>
      <c r="M419" s="682"/>
      <c r="N419" s="116"/>
      <c r="O419" s="116"/>
    </row>
    <row r="420" spans="1:15" ht="12.75" customHeight="1" x14ac:dyDescent="0.25">
      <c r="A420" s="116"/>
      <c r="B420" s="390"/>
      <c r="C420" s="14"/>
      <c r="D420" s="51"/>
      <c r="E420" s="55"/>
      <c r="F420" s="51"/>
      <c r="G420" s="51"/>
      <c r="H420" s="55"/>
      <c r="I420" s="51"/>
      <c r="J420" s="324"/>
      <c r="K420" s="146"/>
      <c r="L420" s="145"/>
      <c r="M420" s="682"/>
      <c r="N420" s="116"/>
      <c r="O420" s="116"/>
    </row>
    <row r="421" spans="1:15" ht="12.75" customHeight="1" x14ac:dyDescent="0.25">
      <c r="A421" s="116"/>
      <c r="B421" s="390" t="s">
        <v>643</v>
      </c>
      <c r="C421" s="14" t="s">
        <v>644</v>
      </c>
      <c r="D421" s="51"/>
      <c r="E421" s="55"/>
      <c r="F421" s="51"/>
      <c r="G421" s="51"/>
      <c r="H421" s="55"/>
      <c r="I421" s="51"/>
      <c r="J421" s="324"/>
      <c r="K421" s="439"/>
      <c r="L421" s="145"/>
      <c r="M421" s="682"/>
      <c r="N421" s="116"/>
      <c r="O421" s="116"/>
    </row>
    <row r="422" spans="1:15" ht="12.75" customHeight="1" x14ac:dyDescent="0.25">
      <c r="A422" s="116"/>
      <c r="B422" s="390"/>
      <c r="C422" s="237" t="s">
        <v>649</v>
      </c>
      <c r="D422" s="237"/>
      <c r="E422" s="237"/>
      <c r="F422" s="237"/>
      <c r="G422" s="237"/>
      <c r="H422" s="237"/>
      <c r="I422" s="237"/>
      <c r="J422" s="324"/>
      <c r="K422" s="439"/>
      <c r="L422" s="145"/>
      <c r="M422" s="682"/>
      <c r="N422" s="116"/>
      <c r="O422" s="116"/>
    </row>
    <row r="423" spans="1:15" ht="12.75" customHeight="1" x14ac:dyDescent="0.25">
      <c r="A423" s="116"/>
      <c r="B423" s="390"/>
      <c r="C423" s="237" t="s">
        <v>651</v>
      </c>
      <c r="D423" s="237"/>
      <c r="E423" s="237"/>
      <c r="F423" s="237">
        <f>(0.8+0.4)/2*0.4</f>
        <v>0.24000000000000005</v>
      </c>
      <c r="G423" s="237" t="s">
        <v>23</v>
      </c>
      <c r="H423" s="237"/>
      <c r="I423" s="237"/>
      <c r="J423" s="324"/>
      <c r="K423" s="439"/>
      <c r="L423" s="145"/>
      <c r="M423" s="682"/>
      <c r="N423" s="116"/>
      <c r="O423" s="116"/>
    </row>
    <row r="424" spans="1:15" ht="12.75" customHeight="1" x14ac:dyDescent="0.25">
      <c r="A424" s="116"/>
      <c r="B424" s="390"/>
      <c r="C424" s="237" t="s">
        <v>645</v>
      </c>
      <c r="D424" s="237"/>
      <c r="E424" s="237"/>
      <c r="F424" s="237">
        <v>6.5</v>
      </c>
      <c r="G424" s="237" t="s">
        <v>7</v>
      </c>
      <c r="H424" s="237"/>
      <c r="I424" s="237"/>
      <c r="J424" s="324"/>
      <c r="K424" s="439"/>
      <c r="L424" s="145"/>
      <c r="M424" s="682"/>
      <c r="N424" s="116"/>
      <c r="O424" s="116"/>
    </row>
    <row r="425" spans="1:15" ht="12.75" customHeight="1" x14ac:dyDescent="0.25">
      <c r="A425" s="116"/>
      <c r="B425" s="390"/>
      <c r="C425" s="237" t="s">
        <v>650</v>
      </c>
      <c r="D425" s="237"/>
      <c r="E425" s="237"/>
      <c r="F425" s="237">
        <f>F423*F424</f>
        <v>1.5600000000000003</v>
      </c>
      <c r="G425" s="237" t="s">
        <v>24</v>
      </c>
      <c r="H425" s="237"/>
      <c r="I425" s="237"/>
      <c r="J425" s="324"/>
      <c r="K425" s="439"/>
      <c r="L425" s="145"/>
      <c r="M425" s="682"/>
      <c r="N425" s="116"/>
      <c r="O425" s="116"/>
    </row>
    <row r="426" spans="1:15" ht="12.75" customHeight="1" x14ac:dyDescent="0.25">
      <c r="A426" s="116"/>
      <c r="B426" s="390"/>
      <c r="C426" s="237" t="s">
        <v>646</v>
      </c>
      <c r="D426" s="237"/>
      <c r="E426" s="237"/>
      <c r="F426" s="237"/>
      <c r="G426" s="237"/>
      <c r="H426" s="237"/>
      <c r="I426" s="237"/>
      <c r="J426" s="324"/>
      <c r="K426" s="439"/>
      <c r="L426" s="145"/>
      <c r="M426" s="682"/>
      <c r="N426" s="116"/>
      <c r="O426" s="116"/>
    </row>
    <row r="427" spans="1:15" ht="12.75" customHeight="1" x14ac:dyDescent="0.25">
      <c r="A427" s="116"/>
      <c r="B427" s="390"/>
      <c r="C427" s="236" t="s">
        <v>647</v>
      </c>
      <c r="D427" s="236"/>
      <c r="E427" s="236"/>
      <c r="F427" s="479">
        <f>75.2/0.6/2</f>
        <v>62.666666666666671</v>
      </c>
      <c r="G427" s="236" t="s">
        <v>40</v>
      </c>
      <c r="H427" s="236"/>
      <c r="I427" s="237"/>
      <c r="J427" s="324"/>
      <c r="K427" s="439"/>
      <c r="L427" s="145"/>
      <c r="M427" s="682"/>
      <c r="N427" s="116"/>
      <c r="O427" s="116"/>
    </row>
    <row r="428" spans="1:15" ht="12.75" customHeight="1" x14ac:dyDescent="0.25">
      <c r="A428" s="116"/>
      <c r="B428" s="390"/>
      <c r="C428" s="237" t="s">
        <v>648</v>
      </c>
      <c r="D428" s="237"/>
      <c r="E428" s="237" t="s">
        <v>652</v>
      </c>
      <c r="F428" s="237"/>
      <c r="G428" s="237">
        <f>F425*F427</f>
        <v>97.760000000000019</v>
      </c>
      <c r="H428" s="237" t="s">
        <v>24</v>
      </c>
      <c r="I428" s="237"/>
      <c r="J428" s="324"/>
      <c r="K428" s="439"/>
      <c r="L428" s="145"/>
      <c r="M428" s="682"/>
      <c r="N428" s="116"/>
      <c r="O428" s="116"/>
    </row>
    <row r="429" spans="1:15" ht="12.75" customHeight="1" x14ac:dyDescent="0.25">
      <c r="A429" s="116"/>
      <c r="B429" s="390"/>
      <c r="C429" s="237" t="s">
        <v>653</v>
      </c>
      <c r="D429" s="237"/>
      <c r="E429" s="237"/>
      <c r="F429" s="237"/>
      <c r="G429" s="237"/>
      <c r="H429" s="237"/>
      <c r="I429" s="237"/>
      <c r="J429" s="324"/>
      <c r="K429" s="439"/>
      <c r="L429" s="145"/>
      <c r="M429" s="682"/>
      <c r="N429" s="116"/>
      <c r="O429" s="116"/>
    </row>
    <row r="430" spans="1:15" ht="12.75" customHeight="1" x14ac:dyDescent="0.25">
      <c r="A430" s="116"/>
      <c r="B430" s="390"/>
      <c r="C430" s="237"/>
      <c r="D430" s="237"/>
      <c r="E430" s="237"/>
      <c r="F430" s="237"/>
      <c r="G430" s="237"/>
      <c r="H430" s="237"/>
      <c r="I430" s="237"/>
      <c r="J430" s="324"/>
      <c r="K430" s="439"/>
      <c r="L430" s="145"/>
      <c r="M430" s="682"/>
      <c r="N430" s="116"/>
      <c r="O430" s="116"/>
    </row>
    <row r="431" spans="1:15" ht="12.75" customHeight="1" x14ac:dyDescent="0.25">
      <c r="A431" s="116"/>
      <c r="B431" s="390" t="s">
        <v>165</v>
      </c>
      <c r="C431" s="411" t="s">
        <v>169</v>
      </c>
      <c r="D431" s="204"/>
      <c r="E431" s="5"/>
      <c r="F431" s="5"/>
      <c r="G431" s="5"/>
      <c r="H431" s="5"/>
      <c r="I431" s="5"/>
      <c r="J431" s="5"/>
      <c r="K431" s="146"/>
      <c r="L431" s="145"/>
      <c r="M431" s="682"/>
      <c r="N431" s="116"/>
      <c r="O431" s="116"/>
    </row>
    <row r="432" spans="1:15" ht="12.75" customHeight="1" x14ac:dyDescent="0.25">
      <c r="A432" s="116"/>
      <c r="B432" s="390"/>
      <c r="C432" s="237" t="s">
        <v>104</v>
      </c>
      <c r="D432" s="51"/>
      <c r="E432" s="55"/>
      <c r="F432" s="51"/>
      <c r="G432" s="51"/>
      <c r="H432" s="55"/>
      <c r="I432" s="51"/>
      <c r="J432" s="51"/>
      <c r="K432" s="146"/>
      <c r="L432" s="145"/>
      <c r="M432" s="682"/>
      <c r="N432" s="116"/>
      <c r="O432" s="116"/>
    </row>
    <row r="433" spans="1:15" ht="12.75" customHeight="1" x14ac:dyDescent="0.25">
      <c r="A433" s="116"/>
      <c r="B433" s="390"/>
      <c r="C433" s="237" t="s">
        <v>92</v>
      </c>
      <c r="D433" s="51"/>
      <c r="E433" s="55"/>
      <c r="F433" s="55">
        <v>7</v>
      </c>
      <c r="G433" s="51" t="s">
        <v>23</v>
      </c>
      <c r="H433" s="55"/>
      <c r="I433" s="51"/>
      <c r="J433" s="51"/>
      <c r="K433" s="146"/>
      <c r="L433" s="145"/>
      <c r="M433" s="682"/>
      <c r="N433" s="116"/>
      <c r="O433" s="116"/>
    </row>
    <row r="434" spans="1:15" ht="12.75" customHeight="1" x14ac:dyDescent="0.25">
      <c r="A434" s="116"/>
      <c r="B434" s="390"/>
      <c r="C434" s="236" t="s">
        <v>26</v>
      </c>
      <c r="D434" s="52"/>
      <c r="E434" s="17"/>
      <c r="F434" s="57">
        <v>11</v>
      </c>
      <c r="G434" s="52" t="s">
        <v>7</v>
      </c>
      <c r="H434" s="55"/>
      <c r="I434" s="51"/>
      <c r="J434" s="51"/>
      <c r="K434" s="146"/>
      <c r="L434" s="145"/>
      <c r="M434" s="682"/>
      <c r="N434" s="116"/>
      <c r="O434" s="116"/>
    </row>
    <row r="435" spans="1:15" ht="12.75" customHeight="1" x14ac:dyDescent="0.25">
      <c r="A435" s="116"/>
      <c r="B435" s="390"/>
      <c r="C435" s="237" t="s">
        <v>22</v>
      </c>
      <c r="D435" s="51"/>
      <c r="E435" s="55"/>
      <c r="F435" s="51"/>
      <c r="G435" s="5"/>
      <c r="H435" s="51">
        <f>F434*F433</f>
        <v>77</v>
      </c>
      <c r="I435" s="55" t="s">
        <v>24</v>
      </c>
      <c r="J435" s="51"/>
      <c r="K435" s="146"/>
      <c r="L435" s="145"/>
      <c r="M435" s="682"/>
      <c r="N435" s="116"/>
      <c r="O435" s="116"/>
    </row>
    <row r="436" spans="1:15" ht="12.75" customHeight="1" x14ac:dyDescent="0.25">
      <c r="A436" s="116"/>
      <c r="B436" s="390"/>
      <c r="C436" s="237"/>
      <c r="D436" s="51"/>
      <c r="E436" s="55"/>
      <c r="F436" s="51"/>
      <c r="G436" s="51"/>
      <c r="H436" s="55"/>
      <c r="I436" s="51"/>
      <c r="J436" s="51"/>
      <c r="K436" s="146"/>
      <c r="L436" s="145"/>
      <c r="M436" s="682"/>
      <c r="N436" s="116"/>
      <c r="O436" s="116"/>
    </row>
    <row r="437" spans="1:15" ht="12.75" customHeight="1" x14ac:dyDescent="0.25">
      <c r="A437" s="116"/>
      <c r="B437" s="390"/>
      <c r="C437" s="237" t="s">
        <v>449</v>
      </c>
      <c r="D437" s="51"/>
      <c r="E437" s="55"/>
      <c r="F437" s="51"/>
      <c r="G437" s="51"/>
      <c r="H437" s="55"/>
      <c r="I437" s="51"/>
      <c r="J437" s="51"/>
      <c r="K437" s="146"/>
      <c r="L437" s="145"/>
      <c r="M437" s="682"/>
      <c r="N437" s="116"/>
      <c r="O437" s="116"/>
    </row>
    <row r="438" spans="1:15" ht="12.75" customHeight="1" x14ac:dyDescent="0.25">
      <c r="A438" s="116"/>
      <c r="B438" s="390"/>
      <c r="C438" s="237" t="s">
        <v>450</v>
      </c>
      <c r="D438" s="51"/>
      <c r="E438" s="55"/>
      <c r="F438" s="55">
        <v>7.5</v>
      </c>
      <c r="G438" s="51" t="s">
        <v>23</v>
      </c>
      <c r="H438" s="55"/>
      <c r="I438" s="51"/>
      <c r="J438" s="51"/>
      <c r="K438" s="146"/>
      <c r="L438" s="145"/>
      <c r="M438" s="682"/>
      <c r="N438" s="116"/>
      <c r="O438" s="116"/>
    </row>
    <row r="439" spans="1:15" ht="12.75" customHeight="1" x14ac:dyDescent="0.25">
      <c r="A439" s="116"/>
      <c r="B439" s="390"/>
      <c r="C439" s="236" t="s">
        <v>26</v>
      </c>
      <c r="D439" s="52"/>
      <c r="E439" s="17"/>
      <c r="F439" s="57">
        <v>8</v>
      </c>
      <c r="G439" s="52" t="s">
        <v>7</v>
      </c>
      <c r="H439" s="55"/>
      <c r="I439" s="51"/>
      <c r="J439" s="51"/>
      <c r="K439" s="146"/>
      <c r="L439" s="145"/>
      <c r="M439" s="682"/>
      <c r="N439" s="116"/>
      <c r="O439" s="116"/>
    </row>
    <row r="440" spans="1:15" ht="12.75" customHeight="1" x14ac:dyDescent="0.25">
      <c r="A440" s="116"/>
      <c r="B440" s="390"/>
      <c r="C440" s="237" t="s">
        <v>22</v>
      </c>
      <c r="D440" s="51"/>
      <c r="E440" s="55"/>
      <c r="F440" s="51"/>
      <c r="G440" s="5"/>
      <c r="H440" s="51">
        <f>F439*F438</f>
        <v>60</v>
      </c>
      <c r="I440" s="55" t="s">
        <v>24</v>
      </c>
      <c r="J440" s="51"/>
      <c r="K440" s="146"/>
      <c r="L440" s="145"/>
      <c r="M440" s="682"/>
      <c r="N440" s="116"/>
      <c r="O440" s="116"/>
    </row>
    <row r="441" spans="1:15" ht="12.75" customHeight="1" x14ac:dyDescent="0.25">
      <c r="A441" s="116"/>
      <c r="B441" s="390"/>
      <c r="C441" s="237" t="s">
        <v>166</v>
      </c>
      <c r="D441" s="51"/>
      <c r="E441" s="55"/>
      <c r="F441" s="51"/>
      <c r="G441" s="51"/>
      <c r="H441" s="55"/>
      <c r="I441" s="51"/>
      <c r="J441" s="51"/>
      <c r="K441" s="146"/>
      <c r="L441" s="145"/>
      <c r="M441" s="682"/>
      <c r="N441" s="116"/>
      <c r="O441" s="116"/>
    </row>
    <row r="442" spans="1:15" ht="12.75" customHeight="1" x14ac:dyDescent="0.25">
      <c r="A442" s="116"/>
      <c r="B442" s="390"/>
      <c r="C442" s="237" t="s">
        <v>92</v>
      </c>
      <c r="D442" s="51"/>
      <c r="E442" s="55"/>
      <c r="F442" s="55">
        <v>1.5</v>
      </c>
      <c r="G442" s="51" t="s">
        <v>23</v>
      </c>
      <c r="H442" s="55"/>
      <c r="I442" s="51"/>
      <c r="J442" s="51"/>
      <c r="K442" s="146"/>
      <c r="L442" s="145"/>
      <c r="M442" s="682"/>
      <c r="N442" s="116"/>
      <c r="O442" s="116"/>
    </row>
    <row r="443" spans="1:15" ht="12.75" customHeight="1" x14ac:dyDescent="0.25">
      <c r="A443" s="116"/>
      <c r="B443" s="390"/>
      <c r="C443" s="236" t="s">
        <v>26</v>
      </c>
      <c r="D443" s="52"/>
      <c r="E443" s="17"/>
      <c r="F443" s="57">
        <v>7</v>
      </c>
      <c r="G443" s="52" t="s">
        <v>7</v>
      </c>
      <c r="H443" s="55"/>
      <c r="I443" s="51"/>
      <c r="J443" s="51"/>
      <c r="K443" s="146"/>
      <c r="L443" s="145"/>
      <c r="M443" s="682"/>
      <c r="N443" s="116"/>
      <c r="O443" s="116"/>
    </row>
    <row r="444" spans="1:15" ht="12.75" customHeight="1" thickBot="1" x14ac:dyDescent="0.3">
      <c r="A444" s="116"/>
      <c r="B444" s="390"/>
      <c r="C444" s="237" t="s">
        <v>22</v>
      </c>
      <c r="D444" s="51"/>
      <c r="E444" s="55"/>
      <c r="F444" s="51"/>
      <c r="G444" s="5"/>
      <c r="H444" s="51">
        <f>F443*F442</f>
        <v>10.5</v>
      </c>
      <c r="I444" s="55" t="s">
        <v>24</v>
      </c>
      <c r="J444" s="51"/>
      <c r="K444" s="146"/>
      <c r="L444" s="145"/>
      <c r="M444" s="682"/>
      <c r="N444" s="116"/>
      <c r="O444" s="116"/>
    </row>
    <row r="445" spans="1:15" ht="12.75" customHeight="1" thickBot="1" x14ac:dyDescent="0.3">
      <c r="A445" s="116"/>
      <c r="B445" s="390"/>
      <c r="C445" s="379" t="s">
        <v>168</v>
      </c>
      <c r="D445" s="6"/>
      <c r="E445" s="7"/>
      <c r="F445" s="6"/>
      <c r="G445" s="6"/>
      <c r="H445" s="410">
        <f>SUM(H434:H444)*1.15</f>
        <v>169.625</v>
      </c>
      <c r="I445" s="8" t="s">
        <v>24</v>
      </c>
      <c r="J445" s="51"/>
      <c r="K445" s="146"/>
      <c r="L445" s="145"/>
      <c r="M445" s="682"/>
      <c r="N445" s="116"/>
      <c r="O445" s="116"/>
    </row>
    <row r="446" spans="1:15" ht="12.75" customHeight="1" x14ac:dyDescent="0.25">
      <c r="A446" s="116"/>
      <c r="B446" s="161"/>
      <c r="C446" s="154"/>
      <c r="D446" s="155"/>
      <c r="E446" s="156"/>
      <c r="F446" s="155"/>
      <c r="G446" s="155"/>
      <c r="H446" s="179"/>
      <c r="I446" s="155"/>
      <c r="J446" s="149"/>
      <c r="K446" s="146"/>
      <c r="L446" s="145"/>
      <c r="M446" s="682"/>
      <c r="N446" s="116"/>
      <c r="O446" s="116"/>
    </row>
    <row r="447" spans="1:15" ht="12.75" customHeight="1" x14ac:dyDescent="0.25">
      <c r="A447" s="116"/>
      <c r="B447" s="10" t="s">
        <v>94</v>
      </c>
      <c r="C447" s="411" t="s">
        <v>95</v>
      </c>
      <c r="D447" s="12"/>
      <c r="E447" s="13"/>
      <c r="F447" s="12"/>
      <c r="G447" s="51"/>
      <c r="H447" s="55"/>
      <c r="I447" s="149"/>
      <c r="J447" s="149"/>
      <c r="K447" s="146"/>
      <c r="L447" s="145"/>
      <c r="M447" s="682"/>
      <c r="N447" s="116"/>
      <c r="O447" s="116"/>
    </row>
    <row r="448" spans="1:15" ht="12.75" customHeight="1" thickBot="1" x14ac:dyDescent="0.3">
      <c r="A448" s="116"/>
      <c r="B448" s="5" t="s">
        <v>171</v>
      </c>
      <c r="C448" s="5"/>
      <c r="D448" s="5"/>
      <c r="E448" s="5"/>
      <c r="F448" s="5"/>
      <c r="G448" s="5"/>
      <c r="H448" s="55"/>
      <c r="I448" s="149"/>
      <c r="J448" s="149"/>
      <c r="K448" s="146"/>
      <c r="L448" s="145"/>
      <c r="M448" s="682"/>
      <c r="N448" s="116"/>
      <c r="O448" s="116"/>
    </row>
    <row r="449" spans="1:15" ht="12.75" customHeight="1" thickBot="1" x14ac:dyDescent="0.3">
      <c r="A449" s="116"/>
      <c r="B449" s="749" t="s">
        <v>12</v>
      </c>
      <c r="C449" s="750"/>
      <c r="D449" s="753" t="s">
        <v>11</v>
      </c>
      <c r="E449" s="755" t="s">
        <v>172</v>
      </c>
      <c r="F449" s="755"/>
      <c r="G449" s="755"/>
      <c r="H449" s="55"/>
      <c r="I449" s="149"/>
      <c r="J449" s="149"/>
      <c r="K449" s="146"/>
      <c r="L449" s="145"/>
      <c r="M449" s="682"/>
      <c r="N449" s="116"/>
      <c r="O449" s="116"/>
    </row>
    <row r="450" spans="1:15" ht="27" customHeight="1" thickBot="1" x14ac:dyDescent="0.3">
      <c r="A450" s="116"/>
      <c r="B450" s="751"/>
      <c r="C450" s="752"/>
      <c r="D450" s="753"/>
      <c r="E450" s="756" t="s">
        <v>173</v>
      </c>
      <c r="F450" s="756"/>
      <c r="G450" s="757"/>
      <c r="H450" s="55"/>
      <c r="I450" s="149"/>
      <c r="J450" s="149"/>
      <c r="K450" s="146"/>
      <c r="L450" s="145"/>
      <c r="M450" s="682"/>
      <c r="N450" s="116"/>
      <c r="O450" s="116"/>
    </row>
    <row r="451" spans="1:15" ht="41.25" customHeight="1" thickBot="1" x14ac:dyDescent="0.3">
      <c r="A451" s="116"/>
      <c r="B451" s="240" t="s">
        <v>9</v>
      </c>
      <c r="C451" s="478" t="s">
        <v>10</v>
      </c>
      <c r="D451" s="754"/>
      <c r="E451" s="240" t="s">
        <v>13</v>
      </c>
      <c r="F451" s="241" t="s">
        <v>14</v>
      </c>
      <c r="G451" s="240" t="s">
        <v>15</v>
      </c>
      <c r="H451" s="55"/>
      <c r="I451" s="149"/>
      <c r="J451" s="149"/>
      <c r="K451" s="146"/>
      <c r="L451" s="145"/>
      <c r="M451" s="682"/>
      <c r="N451" s="116"/>
      <c r="O451" s="116"/>
    </row>
    <row r="452" spans="1:15" ht="12.75" customHeight="1" thickBot="1" x14ac:dyDescent="0.3">
      <c r="A452" s="116"/>
      <c r="B452" s="348"/>
      <c r="C452" s="349" t="s">
        <v>8</v>
      </c>
      <c r="D452" s="343" t="s">
        <v>7</v>
      </c>
      <c r="E452" s="351" t="s">
        <v>7</v>
      </c>
      <c r="F452" s="352" t="s">
        <v>7</v>
      </c>
      <c r="G452" s="351" t="s">
        <v>565</v>
      </c>
      <c r="H452" s="150"/>
      <c r="I452" s="149"/>
      <c r="J452" s="149"/>
      <c r="K452" s="146"/>
      <c r="L452" s="145"/>
      <c r="M452" s="682"/>
      <c r="N452" s="116"/>
      <c r="O452" s="116"/>
    </row>
    <row r="453" spans="1:15" ht="12.75" customHeight="1" thickBot="1" x14ac:dyDescent="0.3">
      <c r="A453" s="116"/>
      <c r="B453" s="412" t="s">
        <v>34</v>
      </c>
      <c r="C453" s="249"/>
      <c r="D453" s="250"/>
      <c r="E453" s="251"/>
      <c r="F453" s="328"/>
      <c r="G453" s="329"/>
      <c r="H453" s="150"/>
      <c r="I453" s="149"/>
      <c r="J453" s="149"/>
      <c r="K453" s="146"/>
      <c r="L453" s="145"/>
      <c r="M453" s="682"/>
      <c r="N453" s="116"/>
      <c r="O453" s="116"/>
    </row>
    <row r="454" spans="1:15" ht="12.75" customHeight="1" x14ac:dyDescent="0.25">
      <c r="A454" s="116"/>
      <c r="B454" s="718" t="s">
        <v>35</v>
      </c>
      <c r="C454" s="719">
        <v>0</v>
      </c>
      <c r="D454" s="708">
        <f>(C456-C454)*1000</f>
        <v>7.29</v>
      </c>
      <c r="E454" s="708">
        <f>E456</f>
        <v>11.6</v>
      </c>
      <c r="F454" s="708">
        <f>(E454+E456)/2</f>
        <v>11.6</v>
      </c>
      <c r="G454" s="709">
        <f>F454*D454</f>
        <v>84.563999999999993</v>
      </c>
      <c r="H454" s="150"/>
      <c r="I454" s="149"/>
      <c r="J454" s="149"/>
      <c r="K454" s="146"/>
      <c r="L454" s="145"/>
      <c r="M454" s="682"/>
      <c r="N454" s="116"/>
      <c r="O454" s="116"/>
    </row>
    <row r="455" spans="1:15" ht="12.75" customHeight="1" x14ac:dyDescent="0.25">
      <c r="A455" s="116"/>
      <c r="B455" s="691"/>
      <c r="C455" s="720"/>
      <c r="D455" s="683"/>
      <c r="E455" s="683"/>
      <c r="F455" s="683"/>
      <c r="G455" s="710"/>
      <c r="H455" s="150"/>
      <c r="I455" s="149"/>
      <c r="J455" s="149"/>
      <c r="K455" s="146"/>
      <c r="L455" s="145"/>
      <c r="M455" s="682"/>
      <c r="N455" s="116"/>
      <c r="O455" s="116"/>
    </row>
    <row r="456" spans="1:15" ht="12.75" customHeight="1" x14ac:dyDescent="0.25">
      <c r="A456" s="116"/>
      <c r="B456" s="691" t="s">
        <v>36</v>
      </c>
      <c r="C456" s="720">
        <v>7.2899999999999996E-3</v>
      </c>
      <c r="D456" s="683"/>
      <c r="E456" s="683">
        <v>11.6</v>
      </c>
      <c r="F456" s="683"/>
      <c r="G456" s="710"/>
      <c r="H456" s="150"/>
      <c r="I456" s="149"/>
      <c r="J456" s="149"/>
      <c r="K456" s="146"/>
      <c r="L456" s="145"/>
      <c r="M456" s="682"/>
      <c r="N456" s="116"/>
      <c r="O456" s="116"/>
    </row>
    <row r="457" spans="1:15" ht="12.75" customHeight="1" x14ac:dyDescent="0.25">
      <c r="A457" s="116"/>
      <c r="B457" s="691"/>
      <c r="C457" s="720"/>
      <c r="D457" s="697">
        <f>(C458-C456)*1000</f>
        <v>2.7400000000000011</v>
      </c>
      <c r="E457" s="683"/>
      <c r="F457" s="683">
        <f>(E456+E458)/2</f>
        <v>11.6</v>
      </c>
      <c r="G457" s="710">
        <f>F457*D457</f>
        <v>31.784000000000013</v>
      </c>
      <c r="H457" s="150"/>
      <c r="I457" s="149"/>
      <c r="J457" s="149"/>
      <c r="K457" s="146"/>
      <c r="L457" s="145"/>
      <c r="M457" s="682"/>
      <c r="N457" s="116"/>
      <c r="O457" s="116"/>
    </row>
    <row r="458" spans="1:15" ht="12.75" customHeight="1" x14ac:dyDescent="0.25">
      <c r="A458" s="116"/>
      <c r="B458" s="691" t="s">
        <v>174</v>
      </c>
      <c r="C458" s="720">
        <v>1.0030000000000001E-2</v>
      </c>
      <c r="D458" s="704"/>
      <c r="E458" s="683">
        <f>E456</f>
        <v>11.6</v>
      </c>
      <c r="F458" s="683"/>
      <c r="G458" s="710"/>
      <c r="H458" s="150"/>
      <c r="I458" s="149"/>
      <c r="J458" s="149"/>
      <c r="K458" s="146"/>
      <c r="L458" s="145"/>
      <c r="M458" s="682"/>
      <c r="N458" s="116"/>
      <c r="O458" s="116"/>
    </row>
    <row r="459" spans="1:15" ht="12.75" customHeight="1" x14ac:dyDescent="0.25">
      <c r="A459" s="116"/>
      <c r="B459" s="691"/>
      <c r="C459" s="720"/>
      <c r="D459" s="683">
        <f>(C460-C458)*1000</f>
        <v>9.1399999999999988</v>
      </c>
      <c r="E459" s="683"/>
      <c r="F459" s="683">
        <f>(E458+E460)/2</f>
        <v>7.15</v>
      </c>
      <c r="G459" s="710">
        <f>F459*D459</f>
        <v>65.350999999999999</v>
      </c>
      <c r="H459" s="150"/>
      <c r="I459" s="149"/>
      <c r="J459" s="149"/>
      <c r="K459" s="146"/>
      <c r="L459" s="145"/>
      <c r="M459" s="682"/>
      <c r="N459" s="116"/>
      <c r="O459" s="116"/>
    </row>
    <row r="460" spans="1:15" ht="12.75" customHeight="1" x14ac:dyDescent="0.25">
      <c r="A460" s="116"/>
      <c r="B460" s="691" t="s">
        <v>37</v>
      </c>
      <c r="C460" s="720">
        <v>1.917E-2</v>
      </c>
      <c r="D460" s="683"/>
      <c r="E460" s="683">
        <v>2.7</v>
      </c>
      <c r="F460" s="683"/>
      <c r="G460" s="710"/>
      <c r="H460" s="150"/>
      <c r="I460" s="149"/>
      <c r="J460" s="149"/>
      <c r="K460" s="146"/>
      <c r="L460" s="145"/>
      <c r="M460" s="682"/>
      <c r="N460" s="116"/>
      <c r="O460" s="116"/>
    </row>
    <row r="461" spans="1:15" ht="12.75" customHeight="1" x14ac:dyDescent="0.25">
      <c r="A461" s="116"/>
      <c r="B461" s="691"/>
      <c r="C461" s="720"/>
      <c r="D461" s="683">
        <f>(C462-C460)*1000</f>
        <v>11</v>
      </c>
      <c r="E461" s="683"/>
      <c r="F461" s="683">
        <f>(E460+E462)/2</f>
        <v>2.8</v>
      </c>
      <c r="G461" s="710">
        <f>F461*D461</f>
        <v>30.799999999999997</v>
      </c>
      <c r="H461" s="150"/>
      <c r="I461" s="149"/>
      <c r="J461" s="149"/>
      <c r="K461" s="146"/>
      <c r="L461" s="145"/>
      <c r="M461" s="682"/>
      <c r="N461" s="116"/>
      <c r="O461" s="116"/>
    </row>
    <row r="462" spans="1:15" ht="12.75" customHeight="1" x14ac:dyDescent="0.25">
      <c r="A462" s="116"/>
      <c r="B462" s="691" t="s">
        <v>38</v>
      </c>
      <c r="C462" s="720">
        <v>3.0169999999999999E-2</v>
      </c>
      <c r="D462" s="683"/>
      <c r="E462" s="683">
        <v>2.9</v>
      </c>
      <c r="F462" s="683"/>
      <c r="G462" s="710"/>
      <c r="H462" s="150"/>
      <c r="I462" s="149"/>
      <c r="J462" s="149"/>
      <c r="K462" s="146"/>
      <c r="L462" s="145"/>
      <c r="M462" s="682"/>
      <c r="N462" s="116"/>
      <c r="O462" s="116"/>
    </row>
    <row r="463" spans="1:15" ht="12.75" customHeight="1" x14ac:dyDescent="0.25">
      <c r="A463" s="116"/>
      <c r="B463" s="691"/>
      <c r="C463" s="720"/>
      <c r="D463" s="683">
        <f>(C464-C462)*1000</f>
        <v>15.930000000000003</v>
      </c>
      <c r="E463" s="683"/>
      <c r="F463" s="683">
        <f>(E462+E464)/2</f>
        <v>3.2</v>
      </c>
      <c r="G463" s="710">
        <f>F463*D463</f>
        <v>50.976000000000013</v>
      </c>
      <c r="H463" s="150"/>
      <c r="I463" s="149"/>
      <c r="J463" s="149"/>
      <c r="K463" s="146"/>
      <c r="L463" s="145"/>
      <c r="M463" s="682"/>
      <c r="N463" s="116"/>
      <c r="O463" s="116"/>
    </row>
    <row r="464" spans="1:15" ht="12.75" customHeight="1" x14ac:dyDescent="0.25">
      <c r="A464" s="116"/>
      <c r="B464" s="691" t="s">
        <v>39</v>
      </c>
      <c r="C464" s="692">
        <v>4.6100000000000002E-2</v>
      </c>
      <c r="D464" s="683"/>
      <c r="E464" s="683">
        <v>3.5</v>
      </c>
      <c r="F464" s="683"/>
      <c r="G464" s="710"/>
      <c r="H464" s="150"/>
      <c r="I464" s="149"/>
      <c r="J464" s="149"/>
      <c r="K464" s="146"/>
      <c r="L464" s="145"/>
      <c r="M464" s="682"/>
      <c r="N464" s="116"/>
      <c r="O464" s="116"/>
    </row>
    <row r="465" spans="1:15" ht="12.75" customHeight="1" x14ac:dyDescent="0.25">
      <c r="A465" s="116"/>
      <c r="B465" s="691"/>
      <c r="C465" s="692"/>
      <c r="D465" s="683">
        <f>(C466-C464)*1000</f>
        <v>3.5299999999999985</v>
      </c>
      <c r="E465" s="683"/>
      <c r="F465" s="683">
        <f>(E464+E466)/2</f>
        <v>3.5</v>
      </c>
      <c r="G465" s="710">
        <f>F465*D465</f>
        <v>12.354999999999995</v>
      </c>
      <c r="H465" s="150"/>
      <c r="I465" s="149"/>
      <c r="J465" s="149"/>
      <c r="K465" s="146"/>
      <c r="L465" s="145"/>
      <c r="M465" s="682"/>
      <c r="N465" s="116"/>
      <c r="O465" s="116"/>
    </row>
    <row r="466" spans="1:15" ht="12.75" customHeight="1" x14ac:dyDescent="0.25">
      <c r="A466" s="116"/>
      <c r="B466" s="691" t="s">
        <v>136</v>
      </c>
      <c r="C466" s="692">
        <v>4.9630000000000001E-2</v>
      </c>
      <c r="D466" s="683"/>
      <c r="E466" s="683">
        <f>E464</f>
        <v>3.5</v>
      </c>
      <c r="F466" s="683"/>
      <c r="G466" s="710"/>
      <c r="H466" s="150"/>
      <c r="I466" s="149"/>
      <c r="J466" s="149"/>
      <c r="K466" s="146"/>
      <c r="L466" s="145"/>
      <c r="M466" s="682"/>
      <c r="N466" s="116"/>
      <c r="O466" s="116"/>
    </row>
    <row r="467" spans="1:15" ht="12.75" customHeight="1" x14ac:dyDescent="0.25">
      <c r="A467" s="116"/>
      <c r="B467" s="691"/>
      <c r="C467" s="692"/>
      <c r="D467" s="683">
        <f>(C468-C466)*1000</f>
        <v>6.4999999999999991</v>
      </c>
      <c r="E467" s="683"/>
      <c r="F467" s="683">
        <v>0</v>
      </c>
      <c r="G467" s="710">
        <f>F467*D467</f>
        <v>0</v>
      </c>
      <c r="H467" s="150"/>
      <c r="I467" s="149"/>
      <c r="J467" s="149"/>
      <c r="K467" s="146"/>
      <c r="L467" s="145"/>
      <c r="M467" s="682"/>
      <c r="N467" s="116"/>
      <c r="O467" s="116"/>
    </row>
    <row r="468" spans="1:15" ht="12.75" customHeight="1" x14ac:dyDescent="0.25">
      <c r="A468" s="116"/>
      <c r="B468" s="691" t="s">
        <v>136</v>
      </c>
      <c r="C468" s="692">
        <v>5.6129999999999999E-2</v>
      </c>
      <c r="D468" s="683"/>
      <c r="E468" s="683">
        <f>E470</f>
        <v>3.9</v>
      </c>
      <c r="F468" s="683"/>
      <c r="G468" s="710"/>
      <c r="H468" s="150"/>
      <c r="I468" s="149"/>
      <c r="J468" s="149"/>
      <c r="K468" s="146"/>
      <c r="L468" s="145"/>
      <c r="M468" s="682"/>
      <c r="N468" s="116"/>
      <c r="O468" s="116"/>
    </row>
    <row r="469" spans="1:15" ht="12.75" customHeight="1" x14ac:dyDescent="0.25">
      <c r="A469" s="116"/>
      <c r="B469" s="691"/>
      <c r="C469" s="692"/>
      <c r="D469" s="683">
        <f>(C470-C468)*1000</f>
        <v>6.1000000000000014</v>
      </c>
      <c r="E469" s="683"/>
      <c r="F469" s="683">
        <f>(E468+E470)/2</f>
        <v>3.9</v>
      </c>
      <c r="G469" s="710">
        <f>F469*D469</f>
        <v>23.790000000000006</v>
      </c>
      <c r="H469" s="150"/>
      <c r="I469" s="149"/>
      <c r="J469" s="149"/>
      <c r="K469" s="146"/>
      <c r="L469" s="145"/>
      <c r="M469" s="682"/>
      <c r="N469" s="116"/>
      <c r="O469" s="116"/>
    </row>
    <row r="470" spans="1:15" ht="12.75" customHeight="1" x14ac:dyDescent="0.25">
      <c r="A470" s="116"/>
      <c r="B470" s="691" t="s">
        <v>42</v>
      </c>
      <c r="C470" s="692">
        <v>6.2230000000000001E-2</v>
      </c>
      <c r="D470" s="683"/>
      <c r="E470" s="683">
        <v>3.9</v>
      </c>
      <c r="F470" s="683"/>
      <c r="G470" s="710"/>
      <c r="H470" s="150"/>
      <c r="I470" s="149"/>
      <c r="J470" s="149"/>
      <c r="K470" s="146"/>
      <c r="L470" s="145"/>
      <c r="M470" s="682"/>
      <c r="N470" s="116"/>
      <c r="O470" s="116"/>
    </row>
    <row r="471" spans="1:15" ht="12.75" customHeight="1" x14ac:dyDescent="0.25">
      <c r="A471" s="116"/>
      <c r="B471" s="691"/>
      <c r="C471" s="692"/>
      <c r="D471" s="683">
        <f>(C472-C470)*1000</f>
        <v>23.839999999999993</v>
      </c>
      <c r="E471" s="683"/>
      <c r="F471" s="683">
        <f>(E470+E472)/2</f>
        <v>3.9</v>
      </c>
      <c r="G471" s="710">
        <f>F471*D471</f>
        <v>92.975999999999971</v>
      </c>
      <c r="H471" s="150"/>
      <c r="I471" s="149"/>
      <c r="J471" s="149"/>
      <c r="K471" s="146"/>
      <c r="L471" s="145"/>
      <c r="M471" s="682"/>
      <c r="N471" s="116"/>
      <c r="O471" s="116"/>
    </row>
    <row r="472" spans="1:15" ht="12.75" customHeight="1" x14ac:dyDescent="0.25">
      <c r="A472" s="116"/>
      <c r="B472" s="691" t="s">
        <v>43</v>
      </c>
      <c r="C472" s="692">
        <v>8.6069999999999994E-2</v>
      </c>
      <c r="D472" s="683"/>
      <c r="E472" s="683">
        <f>E470</f>
        <v>3.9</v>
      </c>
      <c r="F472" s="683"/>
      <c r="G472" s="710"/>
      <c r="H472" s="150"/>
      <c r="I472" s="149"/>
      <c r="J472" s="149"/>
      <c r="K472" s="146"/>
      <c r="L472" s="145"/>
      <c r="M472" s="682"/>
      <c r="N472" s="116"/>
      <c r="O472" s="116"/>
    </row>
    <row r="473" spans="1:15" ht="12.75" customHeight="1" thickBot="1" x14ac:dyDescent="0.3">
      <c r="A473" s="116"/>
      <c r="B473" s="722"/>
      <c r="C473" s="696"/>
      <c r="D473" s="254"/>
      <c r="E473" s="697"/>
      <c r="F473" s="257"/>
      <c r="G473" s="376"/>
      <c r="H473" s="150"/>
      <c r="I473" s="149"/>
      <c r="J473" s="149"/>
      <c r="K473" s="146"/>
      <c r="L473" s="145"/>
      <c r="M473" s="682"/>
      <c r="N473" s="116"/>
      <c r="O473" s="116"/>
    </row>
    <row r="474" spans="1:15" ht="12.75" customHeight="1" thickBot="1" x14ac:dyDescent="0.3">
      <c r="A474" s="116"/>
      <c r="B474" s="248" t="s">
        <v>44</v>
      </c>
      <c r="C474" s="207"/>
      <c r="D474" s="287"/>
      <c r="E474" s="328"/>
      <c r="F474" s="287"/>
      <c r="G474" s="377"/>
      <c r="H474" s="55"/>
      <c r="I474" s="149"/>
      <c r="J474" s="149"/>
      <c r="K474" s="146"/>
      <c r="L474" s="145"/>
      <c r="M474" s="682"/>
      <c r="N474" s="116"/>
      <c r="O474" s="116"/>
    </row>
    <row r="475" spans="1:15" ht="12.75" customHeight="1" x14ac:dyDescent="0.25">
      <c r="A475" s="116"/>
      <c r="B475" s="758" t="s">
        <v>47</v>
      </c>
      <c r="C475" s="760">
        <v>0.12759000000000001</v>
      </c>
      <c r="D475" s="306"/>
      <c r="E475" s="706">
        <v>0</v>
      </c>
      <c r="F475" s="306"/>
      <c r="G475" s="311"/>
      <c r="H475" s="55"/>
      <c r="I475" s="149"/>
      <c r="J475" s="149"/>
      <c r="K475" s="146"/>
      <c r="L475" s="145"/>
      <c r="M475" s="682"/>
      <c r="N475" s="116"/>
      <c r="O475" s="116"/>
    </row>
    <row r="476" spans="1:15" ht="12.75" customHeight="1" x14ac:dyDescent="0.25">
      <c r="A476" s="116"/>
      <c r="B476" s="759"/>
      <c r="C476" s="761"/>
      <c r="D476" s="683">
        <f>(C477-C475)*1000</f>
        <v>13.039999999999996</v>
      </c>
      <c r="E476" s="704"/>
      <c r="F476" s="683">
        <f>(E475+E477)/2</f>
        <v>0.55000000000000004</v>
      </c>
      <c r="G476" s="710">
        <f>F476*D476</f>
        <v>7.1719999999999979</v>
      </c>
      <c r="H476" s="55"/>
      <c r="I476" s="149"/>
      <c r="J476" s="149"/>
      <c r="K476" s="146"/>
      <c r="L476" s="145"/>
      <c r="M476" s="682"/>
      <c r="N476" s="116"/>
      <c r="O476" s="116"/>
    </row>
    <row r="477" spans="1:15" ht="12.75" customHeight="1" x14ac:dyDescent="0.25">
      <c r="A477" s="116"/>
      <c r="B477" s="691" t="s">
        <v>48</v>
      </c>
      <c r="C477" s="692">
        <v>0.14063000000000001</v>
      </c>
      <c r="D477" s="683"/>
      <c r="E477" s="683">
        <v>1.1000000000000001</v>
      </c>
      <c r="F477" s="683"/>
      <c r="G477" s="710"/>
      <c r="H477" s="55"/>
      <c r="I477" s="149"/>
      <c r="J477" s="149"/>
      <c r="K477" s="146"/>
      <c r="L477" s="145"/>
      <c r="M477" s="682"/>
      <c r="N477" s="116"/>
      <c r="O477" s="116"/>
    </row>
    <row r="478" spans="1:15" ht="12.75" customHeight="1" x14ac:dyDescent="0.25">
      <c r="A478" s="116"/>
      <c r="B478" s="691"/>
      <c r="C478" s="692"/>
      <c r="D478" s="683">
        <f>(C479-C477)*1000</f>
        <v>7.0099999999999882</v>
      </c>
      <c r="E478" s="683"/>
      <c r="F478" s="683">
        <f>(E477+E479)/2</f>
        <v>1</v>
      </c>
      <c r="G478" s="710">
        <f>F478*D478</f>
        <v>7.0099999999999882</v>
      </c>
      <c r="H478" s="55"/>
      <c r="I478" s="149"/>
      <c r="J478" s="149"/>
      <c r="K478" s="146"/>
      <c r="L478" s="145"/>
      <c r="M478" s="682"/>
      <c r="N478" s="116"/>
      <c r="O478" s="116"/>
    </row>
    <row r="479" spans="1:15" ht="12.75" customHeight="1" x14ac:dyDescent="0.25">
      <c r="A479" s="116"/>
      <c r="B479" s="691" t="s">
        <v>49</v>
      </c>
      <c r="C479" s="692">
        <v>0.14763999999999999</v>
      </c>
      <c r="D479" s="683"/>
      <c r="E479" s="683">
        <v>0.9</v>
      </c>
      <c r="F479" s="683"/>
      <c r="G479" s="710"/>
      <c r="H479" s="55"/>
      <c r="I479" s="149"/>
      <c r="J479" s="149"/>
      <c r="K479" s="146"/>
      <c r="L479" s="145"/>
      <c r="M479" s="682"/>
      <c r="N479" s="116"/>
      <c r="O479" s="116"/>
    </row>
    <row r="480" spans="1:15" ht="12.75" customHeight="1" x14ac:dyDescent="0.25">
      <c r="A480" s="116"/>
      <c r="B480" s="691"/>
      <c r="C480" s="692"/>
      <c r="D480" s="683">
        <f>(C481-C479)*1000</f>
        <v>10.300000000000004</v>
      </c>
      <c r="E480" s="683"/>
      <c r="F480" s="683">
        <f>(E479+E481)/2</f>
        <v>0.95</v>
      </c>
      <c r="G480" s="710">
        <f>F480*D480</f>
        <v>9.7850000000000037</v>
      </c>
      <c r="H480" s="55"/>
      <c r="I480" s="149"/>
      <c r="J480" s="149"/>
      <c r="K480" s="146"/>
      <c r="L480" s="145"/>
      <c r="M480" s="682"/>
      <c r="N480" s="116"/>
      <c r="O480" s="116"/>
    </row>
    <row r="481" spans="1:15" ht="12.75" customHeight="1" x14ac:dyDescent="0.25">
      <c r="A481" s="116"/>
      <c r="B481" s="691" t="s">
        <v>50</v>
      </c>
      <c r="C481" s="692">
        <v>0.15794</v>
      </c>
      <c r="D481" s="683"/>
      <c r="E481" s="683">
        <v>1</v>
      </c>
      <c r="F481" s="683"/>
      <c r="G481" s="710"/>
      <c r="H481" s="55"/>
      <c r="I481" s="149"/>
      <c r="J481" s="149"/>
      <c r="K481" s="146"/>
      <c r="L481" s="145"/>
      <c r="M481" s="682"/>
      <c r="N481" s="116"/>
      <c r="O481" s="116"/>
    </row>
    <row r="482" spans="1:15" ht="12.75" customHeight="1" x14ac:dyDescent="0.25">
      <c r="A482" s="116"/>
      <c r="B482" s="691"/>
      <c r="C482" s="692"/>
      <c r="D482" s="683">
        <f>(C483-C481)*1000</f>
        <v>24.06</v>
      </c>
      <c r="E482" s="683"/>
      <c r="F482" s="683">
        <f>(E481+E483)/2</f>
        <v>1</v>
      </c>
      <c r="G482" s="710">
        <f>F482*D482</f>
        <v>24.06</v>
      </c>
      <c r="H482" s="55"/>
      <c r="I482" s="149"/>
      <c r="J482" s="149"/>
      <c r="K482" s="146"/>
      <c r="L482" s="145"/>
      <c r="M482" s="682"/>
      <c r="N482" s="116"/>
      <c r="O482" s="116"/>
    </row>
    <row r="483" spans="1:15" ht="12.75" customHeight="1" x14ac:dyDescent="0.25">
      <c r="A483" s="116"/>
      <c r="B483" s="691" t="s">
        <v>43</v>
      </c>
      <c r="C483" s="692">
        <v>0.182</v>
      </c>
      <c r="D483" s="683"/>
      <c r="E483" s="683">
        <f>E481</f>
        <v>1</v>
      </c>
      <c r="F483" s="683"/>
      <c r="G483" s="710"/>
      <c r="H483" s="55"/>
      <c r="I483" s="149"/>
      <c r="J483" s="149"/>
      <c r="K483" s="146"/>
      <c r="L483" s="145"/>
      <c r="M483" s="682"/>
      <c r="N483" s="116"/>
      <c r="O483" s="116"/>
    </row>
    <row r="484" spans="1:15" ht="12.75" customHeight="1" thickBot="1" x14ac:dyDescent="0.3">
      <c r="A484" s="116"/>
      <c r="B484" s="695"/>
      <c r="C484" s="744"/>
      <c r="D484" s="258"/>
      <c r="E484" s="745"/>
      <c r="F484" s="258"/>
      <c r="G484" s="378"/>
      <c r="H484" s="55"/>
      <c r="I484" s="149"/>
      <c r="J484" s="149"/>
      <c r="K484" s="146"/>
      <c r="L484" s="145"/>
      <c r="M484" s="682"/>
      <c r="N484" s="116"/>
      <c r="O484" s="116"/>
    </row>
    <row r="485" spans="1:15" ht="12.75" customHeight="1" thickBot="1" x14ac:dyDescent="0.3">
      <c r="A485" s="116"/>
      <c r="B485" s="413"/>
      <c r="C485" s="414"/>
      <c r="D485" s="316"/>
      <c r="E485" s="317"/>
      <c r="F485" s="316"/>
      <c r="G485" s="415">
        <f>SUM(G454:G483)</f>
        <v>440.62300000000005</v>
      </c>
      <c r="H485" s="55" t="s">
        <v>23</v>
      </c>
      <c r="I485" s="149"/>
      <c r="J485" s="149"/>
      <c r="K485" s="146"/>
      <c r="L485" s="145"/>
      <c r="M485" s="682"/>
      <c r="N485" s="116"/>
      <c r="O485" s="116"/>
    </row>
    <row r="486" spans="1:15" ht="12.75" customHeight="1" x14ac:dyDescent="0.25">
      <c r="A486" s="116"/>
      <c r="B486" s="390"/>
      <c r="C486" s="237"/>
      <c r="D486" s="51"/>
      <c r="E486" s="55"/>
      <c r="F486" s="51"/>
      <c r="G486" s="51"/>
      <c r="H486" s="55"/>
      <c r="I486" s="149"/>
      <c r="J486" s="149"/>
      <c r="K486" s="166"/>
      <c r="L486" s="145"/>
      <c r="M486" s="682"/>
      <c r="N486" s="116"/>
      <c r="O486" s="116"/>
    </row>
    <row r="487" spans="1:15" ht="12.75" customHeight="1" x14ac:dyDescent="0.25">
      <c r="A487" s="116"/>
      <c r="B487" s="390" t="s">
        <v>128</v>
      </c>
      <c r="C487" s="237"/>
      <c r="D487" s="51"/>
      <c r="E487" s="55"/>
      <c r="F487" s="51"/>
      <c r="G487" s="51"/>
      <c r="H487" s="55"/>
      <c r="I487" s="149"/>
      <c r="J487" s="149"/>
      <c r="K487" s="166"/>
      <c r="L487" s="145"/>
      <c r="M487" s="682"/>
      <c r="N487" s="116"/>
      <c r="O487" s="116"/>
    </row>
    <row r="488" spans="1:15" ht="12.75" customHeight="1" x14ac:dyDescent="0.25">
      <c r="A488" s="116"/>
      <c r="B488" s="390" t="s">
        <v>86</v>
      </c>
      <c r="C488" s="237"/>
      <c r="D488" s="51"/>
      <c r="E488" s="55"/>
      <c r="F488" s="51"/>
      <c r="G488" s="51"/>
      <c r="H488" s="55"/>
      <c r="I488" s="149"/>
      <c r="J488" s="149"/>
      <c r="K488" s="146"/>
      <c r="L488" s="145"/>
      <c r="M488" s="682"/>
      <c r="N488" s="116"/>
      <c r="O488" s="116"/>
    </row>
    <row r="489" spans="1:15" ht="12.75" customHeight="1" x14ac:dyDescent="0.25">
      <c r="A489" s="116"/>
      <c r="B489" s="56" t="s">
        <v>451</v>
      </c>
      <c r="C489" s="237" t="s">
        <v>176</v>
      </c>
      <c r="D489" s="51"/>
      <c r="E489" s="55"/>
      <c r="F489" s="51"/>
      <c r="G489" s="51">
        <v>46</v>
      </c>
      <c r="H489" s="55" t="s">
        <v>23</v>
      </c>
      <c r="I489" s="149"/>
      <c r="J489" s="149"/>
      <c r="K489" s="146"/>
      <c r="L489" s="145"/>
      <c r="M489" s="682"/>
      <c r="N489" s="116"/>
      <c r="O489" s="116"/>
    </row>
    <row r="490" spans="1:15" ht="12.75" customHeight="1" x14ac:dyDescent="0.25">
      <c r="A490" s="116"/>
      <c r="B490" s="398" t="s">
        <v>175</v>
      </c>
      <c r="C490" s="236" t="s">
        <v>176</v>
      </c>
      <c r="D490" s="52"/>
      <c r="E490" s="57"/>
      <c r="F490" s="52"/>
      <c r="G490" s="52">
        <v>65</v>
      </c>
      <c r="H490" s="57" t="s">
        <v>23</v>
      </c>
      <c r="I490" s="149"/>
      <c r="J490" s="149"/>
      <c r="K490" s="146"/>
      <c r="L490" s="145"/>
      <c r="M490" s="682"/>
      <c r="N490" s="116"/>
      <c r="O490" s="116"/>
    </row>
    <row r="491" spans="1:15" ht="12.75" customHeight="1" thickBot="1" x14ac:dyDescent="0.3">
      <c r="A491" s="116"/>
      <c r="B491" s="390"/>
      <c r="C491" s="237"/>
      <c r="D491" s="51"/>
      <c r="E491" s="55"/>
      <c r="F491" s="51"/>
      <c r="G491" s="51"/>
      <c r="H491" s="55"/>
      <c r="I491" s="149"/>
      <c r="J491" s="149"/>
      <c r="K491" s="146"/>
      <c r="L491" s="145"/>
      <c r="M491" s="682"/>
      <c r="N491" s="116"/>
      <c r="O491" s="116"/>
    </row>
    <row r="492" spans="1:15" ht="12.75" customHeight="1" thickBot="1" x14ac:dyDescent="0.3">
      <c r="A492" s="116"/>
      <c r="B492" s="416" t="s">
        <v>180</v>
      </c>
      <c r="C492" s="414"/>
      <c r="D492" s="316"/>
      <c r="E492" s="317"/>
      <c r="F492" s="316"/>
      <c r="G492" s="417">
        <f>SUM(G485:G490)</f>
        <v>551.62300000000005</v>
      </c>
      <c r="H492" s="418" t="s">
        <v>23</v>
      </c>
      <c r="I492" s="149"/>
      <c r="J492" s="149"/>
      <c r="K492" s="146"/>
      <c r="L492" s="145"/>
      <c r="M492" s="682"/>
      <c r="N492" s="116"/>
      <c r="O492" s="116"/>
    </row>
    <row r="493" spans="1:15" ht="12.75" customHeight="1" x14ac:dyDescent="0.25">
      <c r="A493" s="116"/>
      <c r="B493" s="390"/>
      <c r="C493" s="237"/>
      <c r="D493" s="51"/>
      <c r="E493" s="55"/>
      <c r="F493" s="51"/>
      <c r="G493" s="51"/>
      <c r="H493" s="55"/>
      <c r="I493" s="51"/>
      <c r="J493" s="149"/>
      <c r="K493" s="146"/>
      <c r="L493" s="145"/>
      <c r="M493" s="682"/>
      <c r="N493" s="116"/>
      <c r="O493" s="116"/>
    </row>
    <row r="494" spans="1:15" ht="12.75" customHeight="1" x14ac:dyDescent="0.25">
      <c r="A494" s="116"/>
      <c r="B494" s="10" t="s">
        <v>96</v>
      </c>
      <c r="C494" s="290" t="s">
        <v>97</v>
      </c>
      <c r="D494" s="12"/>
      <c r="E494" s="13"/>
      <c r="F494" s="12"/>
      <c r="G494" s="51"/>
      <c r="H494" s="55"/>
      <c r="I494" s="51"/>
      <c r="J494" s="149"/>
      <c r="K494" s="146"/>
      <c r="L494" s="145"/>
      <c r="M494" s="682"/>
      <c r="N494" s="116"/>
      <c r="O494" s="116"/>
    </row>
    <row r="495" spans="1:15" ht="12.75" customHeight="1" x14ac:dyDescent="0.25">
      <c r="A495" s="116"/>
      <c r="B495" s="390"/>
      <c r="C495" s="237" t="s">
        <v>177</v>
      </c>
      <c r="D495" s="51"/>
      <c r="E495" s="55"/>
      <c r="F495" s="51"/>
      <c r="G495" s="51"/>
      <c r="H495" s="55"/>
      <c r="I495" s="51"/>
      <c r="J495" s="149"/>
      <c r="K495" s="146"/>
      <c r="L495" s="145"/>
      <c r="M495" s="682"/>
      <c r="N495" s="116"/>
      <c r="O495" s="116"/>
    </row>
    <row r="496" spans="1:15" ht="12.75" customHeight="1" x14ac:dyDescent="0.25">
      <c r="A496" s="116"/>
      <c r="B496" s="390"/>
      <c r="C496" s="237" t="s">
        <v>452</v>
      </c>
      <c r="D496" s="51"/>
      <c r="E496" s="55">
        <v>1.7</v>
      </c>
      <c r="F496" s="51" t="s">
        <v>7</v>
      </c>
      <c r="G496" s="51"/>
      <c r="H496" s="55"/>
      <c r="I496" s="51"/>
      <c r="J496" s="149"/>
      <c r="K496" s="146"/>
      <c r="L496" s="145"/>
      <c r="M496" s="682"/>
      <c r="N496" s="116"/>
      <c r="O496" s="116"/>
    </row>
    <row r="497" spans="1:15" ht="12.75" customHeight="1" x14ac:dyDescent="0.25">
      <c r="A497" s="116"/>
      <c r="B497" s="390"/>
      <c r="C497" s="236" t="s">
        <v>26</v>
      </c>
      <c r="D497" s="52"/>
      <c r="E497" s="57">
        <v>33</v>
      </c>
      <c r="F497" s="52" t="s">
        <v>7</v>
      </c>
      <c r="G497" s="52"/>
      <c r="H497" s="55"/>
      <c r="I497" s="51"/>
      <c r="J497" s="149"/>
      <c r="K497" s="166"/>
      <c r="L497" s="145"/>
      <c r="M497" s="682"/>
      <c r="N497" s="116"/>
      <c r="O497" s="116"/>
    </row>
    <row r="498" spans="1:15" ht="12.75" customHeight="1" x14ac:dyDescent="0.25">
      <c r="A498" s="116"/>
      <c r="B498" s="390"/>
      <c r="C498" s="237" t="s">
        <v>31</v>
      </c>
      <c r="D498" s="51"/>
      <c r="E498" s="55"/>
      <c r="F498" s="51"/>
      <c r="G498" s="51">
        <f>E496*E497</f>
        <v>56.1</v>
      </c>
      <c r="H498" s="55" t="s">
        <v>23</v>
      </c>
      <c r="I498" s="51"/>
      <c r="J498" s="149"/>
      <c r="K498" s="166"/>
      <c r="L498" s="145"/>
      <c r="M498" s="682"/>
      <c r="N498" s="116"/>
      <c r="O498" s="116"/>
    </row>
    <row r="499" spans="1:15" ht="12.75" customHeight="1" x14ac:dyDescent="0.25">
      <c r="A499" s="116"/>
      <c r="B499" s="390"/>
      <c r="C499" s="237"/>
      <c r="D499" s="51"/>
      <c r="E499" s="55"/>
      <c r="F499" s="51"/>
      <c r="G499" s="51"/>
      <c r="H499" s="55"/>
      <c r="I499" s="51"/>
      <c r="J499" s="149"/>
      <c r="K499" s="166"/>
      <c r="L499" s="145"/>
      <c r="M499" s="682"/>
      <c r="N499" s="116"/>
      <c r="O499" s="116"/>
    </row>
    <row r="500" spans="1:15" ht="12.75" customHeight="1" x14ac:dyDescent="0.25">
      <c r="A500" s="116"/>
      <c r="B500" s="390"/>
      <c r="C500" s="237" t="s">
        <v>612</v>
      </c>
      <c r="D500" s="51"/>
      <c r="E500" s="55">
        <f>2*0.5*52</f>
        <v>52</v>
      </c>
      <c r="F500" s="51" t="s">
        <v>7</v>
      </c>
      <c r="G500" s="51"/>
      <c r="H500" s="55"/>
      <c r="I500" s="51"/>
      <c r="J500" s="149"/>
      <c r="K500" s="166"/>
      <c r="L500" s="145"/>
      <c r="M500" s="682"/>
      <c r="N500" s="116"/>
      <c r="O500" s="116"/>
    </row>
    <row r="501" spans="1:15" ht="12.75" customHeight="1" x14ac:dyDescent="0.25">
      <c r="A501" s="116"/>
      <c r="B501" s="390"/>
      <c r="C501" s="237" t="s">
        <v>197</v>
      </c>
      <c r="D501" s="51"/>
      <c r="E501" s="55">
        <v>2</v>
      </c>
      <c r="F501" s="51" t="s">
        <v>40</v>
      </c>
      <c r="G501" s="51"/>
      <c r="H501" s="55"/>
      <c r="I501" s="51"/>
      <c r="J501" s="149"/>
      <c r="K501" s="166"/>
      <c r="L501" s="145"/>
      <c r="M501" s="682"/>
      <c r="N501" s="116"/>
      <c r="O501" s="116"/>
    </row>
    <row r="502" spans="1:15" ht="12.75" customHeight="1" x14ac:dyDescent="0.25">
      <c r="A502" s="116"/>
      <c r="B502" s="390"/>
      <c r="C502" s="419" t="s">
        <v>184</v>
      </c>
      <c r="D502" s="52"/>
      <c r="E502" s="57">
        <v>0.5</v>
      </c>
      <c r="F502" s="52" t="s">
        <v>7</v>
      </c>
      <c r="G502" s="52"/>
      <c r="H502" s="57"/>
      <c r="I502" s="51"/>
      <c r="J502" s="149"/>
      <c r="K502" s="146"/>
      <c r="L502" s="145"/>
      <c r="M502" s="682"/>
      <c r="N502" s="116"/>
      <c r="O502" s="116"/>
    </row>
    <row r="503" spans="1:15" ht="12.75" customHeight="1" x14ac:dyDescent="0.25">
      <c r="A503" s="116"/>
      <c r="B503" s="390"/>
      <c r="C503" s="237" t="s">
        <v>31</v>
      </c>
      <c r="D503" s="51"/>
      <c r="E503" s="55"/>
      <c r="F503" s="51"/>
      <c r="G503" s="51">
        <f>E500*E501*E502</f>
        <v>52</v>
      </c>
      <c r="H503" s="55" t="s">
        <v>23</v>
      </c>
      <c r="I503" s="51"/>
      <c r="J503" s="149"/>
      <c r="K503" s="146"/>
      <c r="L503" s="145"/>
      <c r="M503" s="682"/>
      <c r="N503" s="116"/>
      <c r="O503" s="116"/>
    </row>
    <row r="504" spans="1:15" ht="12.75" customHeight="1" x14ac:dyDescent="0.25">
      <c r="A504" s="116"/>
      <c r="B504" s="390"/>
      <c r="C504" s="237"/>
      <c r="D504" s="51"/>
      <c r="E504" s="55"/>
      <c r="F504" s="51"/>
      <c r="G504" s="51"/>
      <c r="H504" s="55"/>
      <c r="I504" s="51"/>
      <c r="J504" s="149"/>
      <c r="K504" s="146"/>
      <c r="L504" s="145"/>
      <c r="M504" s="682"/>
      <c r="N504" s="116"/>
      <c r="O504" s="116"/>
    </row>
    <row r="505" spans="1:15" ht="12.75" customHeight="1" x14ac:dyDescent="0.25">
      <c r="A505" s="116"/>
      <c r="B505" s="390"/>
      <c r="C505" s="237" t="s">
        <v>613</v>
      </c>
      <c r="D505" s="51"/>
      <c r="E505" s="55"/>
      <c r="F505" s="51"/>
      <c r="G505" s="51">
        <v>24</v>
      </c>
      <c r="H505" s="55" t="s">
        <v>23</v>
      </c>
      <c r="I505" s="51"/>
      <c r="J505" s="149"/>
      <c r="K505" s="146"/>
      <c r="L505" s="145"/>
      <c r="M505" s="682"/>
      <c r="N505" s="116"/>
      <c r="O505" s="116"/>
    </row>
    <row r="506" spans="1:15" ht="12.75" customHeight="1" x14ac:dyDescent="0.25">
      <c r="A506" s="116"/>
      <c r="B506" s="390"/>
      <c r="C506" s="237" t="s">
        <v>614</v>
      </c>
      <c r="D506" s="51"/>
      <c r="E506" s="55"/>
      <c r="F506" s="51"/>
      <c r="G506" s="51"/>
      <c r="H506" s="55"/>
      <c r="I506" s="51"/>
      <c r="J506" s="149"/>
      <c r="K506" s="146"/>
      <c r="L506" s="145"/>
      <c r="M506" s="682"/>
      <c r="N506" s="116"/>
      <c r="O506" s="116"/>
    </row>
    <row r="507" spans="1:15" ht="12.75" customHeight="1" x14ac:dyDescent="0.25">
      <c r="A507" s="116"/>
      <c r="B507" s="390"/>
      <c r="C507" s="237"/>
      <c r="D507" s="51"/>
      <c r="E507" s="55"/>
      <c r="F507" s="51"/>
      <c r="G507" s="51"/>
      <c r="H507" s="55"/>
      <c r="I507" s="51"/>
      <c r="J507" s="149"/>
      <c r="K507" s="166"/>
      <c r="L507" s="145"/>
      <c r="M507" s="682"/>
      <c r="N507" s="116"/>
      <c r="O507" s="116"/>
    </row>
    <row r="508" spans="1:15" ht="12.75" customHeight="1" x14ac:dyDescent="0.25">
      <c r="A508" s="116"/>
      <c r="B508" s="390"/>
      <c r="C508" s="237" t="s">
        <v>86</v>
      </c>
      <c r="D508" s="51"/>
      <c r="E508" s="55"/>
      <c r="F508" s="51"/>
      <c r="G508" s="51"/>
      <c r="H508" s="55"/>
      <c r="I508" s="51"/>
      <c r="J508" s="149"/>
      <c r="K508" s="146"/>
      <c r="L508" s="145"/>
      <c r="M508" s="682"/>
      <c r="N508" s="116"/>
      <c r="O508" s="116"/>
    </row>
    <row r="509" spans="1:15" ht="12.75" customHeight="1" thickBot="1" x14ac:dyDescent="0.3">
      <c r="A509" s="116"/>
      <c r="B509" s="368" t="s">
        <v>178</v>
      </c>
      <c r="C509" s="11"/>
      <c r="D509" s="324"/>
      <c r="E509" s="285"/>
      <c r="F509" s="324"/>
      <c r="G509" s="324"/>
      <c r="H509" s="150"/>
      <c r="I509" s="149"/>
      <c r="J509" s="149"/>
      <c r="K509" s="146"/>
      <c r="L509" s="145"/>
      <c r="M509" s="682"/>
      <c r="N509" s="116"/>
      <c r="O509" s="116"/>
    </row>
    <row r="510" spans="1:15" ht="12.75" customHeight="1" thickBot="1" x14ac:dyDescent="0.3">
      <c r="A510" s="116"/>
      <c r="B510" s="684" t="s">
        <v>12</v>
      </c>
      <c r="C510" s="685"/>
      <c r="D510" s="688" t="s">
        <v>11</v>
      </c>
      <c r="E510" s="690" t="s">
        <v>161</v>
      </c>
      <c r="F510" s="690"/>
      <c r="G510" s="690"/>
      <c r="H510" s="150"/>
      <c r="I510" s="149"/>
      <c r="J510" s="149"/>
      <c r="K510" s="146"/>
      <c r="L510" s="145"/>
      <c r="M510" s="682"/>
      <c r="N510" s="116"/>
      <c r="O510" s="116"/>
    </row>
    <row r="511" spans="1:15" ht="12.75" customHeight="1" thickBot="1" x14ac:dyDescent="0.3">
      <c r="A511" s="116"/>
      <c r="B511" s="686"/>
      <c r="C511" s="687"/>
      <c r="D511" s="688"/>
      <c r="E511" s="698" t="s">
        <v>212</v>
      </c>
      <c r="F511" s="699"/>
      <c r="G511" s="700"/>
      <c r="H511" s="150"/>
      <c r="I511" s="149"/>
      <c r="J511" s="149"/>
      <c r="K511" s="146"/>
      <c r="L511" s="145"/>
      <c r="M511" s="682"/>
      <c r="N511" s="116"/>
      <c r="O511" s="116"/>
    </row>
    <row r="512" spans="1:15" ht="46.5" customHeight="1" thickBot="1" x14ac:dyDescent="0.3">
      <c r="A512" s="116"/>
      <c r="B512" s="238" t="s">
        <v>9</v>
      </c>
      <c r="C512" s="239" t="s">
        <v>10</v>
      </c>
      <c r="D512" s="689"/>
      <c r="E512" s="240" t="s">
        <v>13</v>
      </c>
      <c r="F512" s="241" t="s">
        <v>14</v>
      </c>
      <c r="G512" s="240" t="s">
        <v>15</v>
      </c>
      <c r="H512" s="150"/>
      <c r="I512" s="149"/>
      <c r="J512" s="149"/>
      <c r="K512" s="146"/>
      <c r="L512" s="145"/>
      <c r="M512" s="682"/>
      <c r="N512" s="116"/>
      <c r="O512" s="116"/>
    </row>
    <row r="513" spans="1:15" ht="12.75" customHeight="1" thickBot="1" x14ac:dyDescent="0.3">
      <c r="A513" s="116"/>
      <c r="B513" s="242"/>
      <c r="C513" s="243" t="s">
        <v>8</v>
      </c>
      <c r="D513" s="238" t="s">
        <v>7</v>
      </c>
      <c r="E513" s="244" t="s">
        <v>7</v>
      </c>
      <c r="F513" s="245" t="s">
        <v>7</v>
      </c>
      <c r="G513" s="244" t="s">
        <v>565</v>
      </c>
      <c r="H513" s="150"/>
      <c r="I513" s="149"/>
      <c r="J513" s="149"/>
      <c r="K513" s="146"/>
      <c r="L513" s="145"/>
      <c r="M513" s="682"/>
      <c r="N513" s="116"/>
      <c r="O513" s="116"/>
    </row>
    <row r="514" spans="1:15" ht="12.75" customHeight="1" thickBot="1" x14ac:dyDescent="0.3">
      <c r="A514" s="116"/>
      <c r="B514" s="327"/>
      <c r="C514" s="249"/>
      <c r="D514" s="250"/>
      <c r="E514" s="251"/>
      <c r="F514" s="328"/>
      <c r="G514" s="329"/>
      <c r="H514" s="150"/>
      <c r="I514" s="149"/>
      <c r="J514" s="149"/>
      <c r="K514" s="146"/>
      <c r="L514" s="145"/>
      <c r="M514" s="682"/>
      <c r="N514" s="116"/>
      <c r="O514" s="116"/>
    </row>
    <row r="515" spans="1:15" ht="12.75" customHeight="1" x14ac:dyDescent="0.25">
      <c r="A515" s="116"/>
      <c r="B515" s="747" t="s">
        <v>35</v>
      </c>
      <c r="C515" s="703">
        <v>0</v>
      </c>
      <c r="D515" s="704">
        <f>(C517-C515)*1000</f>
        <v>12.5</v>
      </c>
      <c r="E515" s="704">
        <v>2.5</v>
      </c>
      <c r="F515" s="704">
        <f>(E515+E517)/2</f>
        <v>2.2000000000000002</v>
      </c>
      <c r="G515" s="704">
        <f>F515*D515</f>
        <v>27.500000000000004</v>
      </c>
      <c r="H515" s="150"/>
      <c r="I515" s="149"/>
      <c r="J515" s="149"/>
      <c r="K515" s="146"/>
      <c r="L515" s="145"/>
      <c r="M515" s="682"/>
      <c r="N515" s="116"/>
      <c r="O515" s="116"/>
    </row>
    <row r="516" spans="1:15" ht="12.75" customHeight="1" x14ac:dyDescent="0.25">
      <c r="A516" s="116"/>
      <c r="B516" s="748"/>
      <c r="C516" s="692"/>
      <c r="D516" s="683"/>
      <c r="E516" s="683"/>
      <c r="F516" s="683"/>
      <c r="G516" s="683"/>
      <c r="H516" s="150"/>
      <c r="I516" s="149"/>
      <c r="J516" s="149"/>
      <c r="K516" s="146"/>
      <c r="L516" s="145"/>
      <c r="M516" s="682"/>
      <c r="N516" s="116"/>
      <c r="O516" s="116"/>
    </row>
    <row r="517" spans="1:15" ht="12.75" customHeight="1" x14ac:dyDescent="0.25">
      <c r="A517" s="116"/>
      <c r="B517" s="748" t="s">
        <v>119</v>
      </c>
      <c r="C517" s="692">
        <v>1.2500000000000001E-2</v>
      </c>
      <c r="D517" s="683"/>
      <c r="E517" s="683">
        <v>1.9</v>
      </c>
      <c r="F517" s="683"/>
      <c r="G517" s="683"/>
      <c r="H517" s="150"/>
      <c r="I517" s="149"/>
      <c r="J517" s="149"/>
      <c r="K517" s="146"/>
      <c r="L517" s="145"/>
      <c r="M517" s="682"/>
      <c r="N517" s="116"/>
      <c r="O517" s="116"/>
    </row>
    <row r="518" spans="1:15" ht="12.75" customHeight="1" x14ac:dyDescent="0.25">
      <c r="A518" s="116"/>
      <c r="B518" s="748"/>
      <c r="C518" s="692"/>
      <c r="D518" s="683">
        <f>(C519-C517)*1000</f>
        <v>9.9999999999999982</v>
      </c>
      <c r="E518" s="683"/>
      <c r="F518" s="683">
        <f>(E517+E519)/2</f>
        <v>1.9</v>
      </c>
      <c r="G518" s="683">
        <f>F518*D518</f>
        <v>18.999999999999996</v>
      </c>
      <c r="H518" s="150"/>
      <c r="I518" s="149"/>
      <c r="J518" s="149"/>
      <c r="K518" s="146"/>
      <c r="L518" s="145"/>
      <c r="M518" s="682"/>
      <c r="N518" s="116"/>
      <c r="O518" s="116"/>
    </row>
    <row r="519" spans="1:15" ht="12.75" customHeight="1" x14ac:dyDescent="0.25">
      <c r="A519" s="116"/>
      <c r="B519" s="748" t="s">
        <v>120</v>
      </c>
      <c r="C519" s="692">
        <v>2.2499999999999999E-2</v>
      </c>
      <c r="D519" s="683"/>
      <c r="E519" s="683">
        <v>1.9</v>
      </c>
      <c r="F519" s="683"/>
      <c r="G519" s="683"/>
      <c r="H519" s="150"/>
      <c r="I519" s="149"/>
      <c r="J519" s="149"/>
      <c r="K519" s="146"/>
      <c r="L519" s="145"/>
      <c r="M519" s="682"/>
      <c r="N519" s="116"/>
      <c r="O519" s="116"/>
    </row>
    <row r="520" spans="1:15" ht="12.75" customHeight="1" x14ac:dyDescent="0.25">
      <c r="A520" s="116"/>
      <c r="B520" s="748"/>
      <c r="C520" s="692"/>
      <c r="D520" s="683">
        <f>(C521-C519)*1000</f>
        <v>10.050000000000004</v>
      </c>
      <c r="E520" s="683"/>
      <c r="F520" s="683">
        <f>(E519+E521)/2</f>
        <v>1.7999999999999998</v>
      </c>
      <c r="G520" s="683">
        <f>F520*D520</f>
        <v>18.090000000000007</v>
      </c>
      <c r="H520" s="150"/>
      <c r="I520" s="149"/>
      <c r="J520" s="149"/>
      <c r="K520" s="146"/>
      <c r="L520" s="145"/>
      <c r="M520" s="682"/>
      <c r="N520" s="116"/>
      <c r="O520" s="116"/>
    </row>
    <row r="521" spans="1:15" ht="12.75" customHeight="1" x14ac:dyDescent="0.25">
      <c r="A521" s="116"/>
      <c r="B521" s="748" t="s">
        <v>121</v>
      </c>
      <c r="C521" s="692">
        <v>3.2550000000000003E-2</v>
      </c>
      <c r="D521" s="683"/>
      <c r="E521" s="683">
        <v>1.7</v>
      </c>
      <c r="F521" s="683"/>
      <c r="G521" s="683"/>
      <c r="H521" s="150"/>
      <c r="I521" s="149"/>
      <c r="J521" s="149"/>
      <c r="K521" s="146"/>
      <c r="L521" s="145"/>
      <c r="M521" s="682"/>
      <c r="N521" s="116"/>
      <c r="O521" s="116"/>
    </row>
    <row r="522" spans="1:15" ht="12.75" customHeight="1" x14ac:dyDescent="0.25">
      <c r="A522" s="116"/>
      <c r="B522" s="748"/>
      <c r="C522" s="692"/>
      <c r="D522" s="683">
        <f>(C523-C521)*1000</f>
        <v>10.339999999999995</v>
      </c>
      <c r="E522" s="683"/>
      <c r="F522" s="683">
        <f>(E521+E523)/2</f>
        <v>1.7749999999999999</v>
      </c>
      <c r="G522" s="683">
        <f>F522*D522</f>
        <v>18.35349999999999</v>
      </c>
      <c r="H522" s="150"/>
      <c r="I522" s="149"/>
      <c r="J522" s="149"/>
      <c r="K522" s="146"/>
      <c r="L522" s="145"/>
      <c r="M522" s="682"/>
      <c r="N522" s="116"/>
      <c r="O522" s="116"/>
    </row>
    <row r="523" spans="1:15" ht="12.75" customHeight="1" x14ac:dyDescent="0.25">
      <c r="A523" s="116"/>
      <c r="B523" s="748" t="s">
        <v>122</v>
      </c>
      <c r="C523" s="692">
        <v>4.2889999999999998E-2</v>
      </c>
      <c r="D523" s="683"/>
      <c r="E523" s="683">
        <v>1.85</v>
      </c>
      <c r="F523" s="683"/>
      <c r="G523" s="683"/>
      <c r="H523" s="150"/>
      <c r="I523" s="149"/>
      <c r="J523" s="149"/>
      <c r="K523" s="146"/>
      <c r="L523" s="145"/>
      <c r="M523" s="682"/>
      <c r="N523" s="116"/>
      <c r="O523" s="116"/>
    </row>
    <row r="524" spans="1:15" ht="12.75" customHeight="1" x14ac:dyDescent="0.25">
      <c r="A524" s="116"/>
      <c r="B524" s="748"/>
      <c r="C524" s="692"/>
      <c r="D524" s="683">
        <f>(C525-C523)*1000</f>
        <v>10.000000000000002</v>
      </c>
      <c r="E524" s="683"/>
      <c r="F524" s="683">
        <f>(E523+E525)/2</f>
        <v>1.675</v>
      </c>
      <c r="G524" s="683">
        <f>F524*D524</f>
        <v>16.750000000000004</v>
      </c>
      <c r="H524" s="150"/>
      <c r="I524" s="149"/>
      <c r="J524" s="149"/>
      <c r="K524" s="146"/>
      <c r="L524" s="145"/>
      <c r="M524" s="682"/>
      <c r="N524" s="116"/>
      <c r="O524" s="116"/>
    </row>
    <row r="525" spans="1:15" ht="12.75" customHeight="1" x14ac:dyDescent="0.25">
      <c r="A525" s="116"/>
      <c r="B525" s="748" t="s">
        <v>123</v>
      </c>
      <c r="C525" s="692">
        <v>5.289E-2</v>
      </c>
      <c r="D525" s="683"/>
      <c r="E525" s="683">
        <v>1.5</v>
      </c>
      <c r="F525" s="683"/>
      <c r="G525" s="683"/>
      <c r="H525" s="150"/>
      <c r="I525" s="149"/>
      <c r="J525" s="149"/>
      <c r="K525" s="146"/>
      <c r="L525" s="145"/>
      <c r="M525" s="682"/>
      <c r="N525" s="116"/>
      <c r="O525" s="116"/>
    </row>
    <row r="526" spans="1:15" ht="12.75" customHeight="1" x14ac:dyDescent="0.25">
      <c r="A526" s="116"/>
      <c r="B526" s="748"/>
      <c r="C526" s="692"/>
      <c r="D526" s="683">
        <f>(C527-C525)*1000</f>
        <v>10.000000000000002</v>
      </c>
      <c r="E526" s="683"/>
      <c r="F526" s="683">
        <f>(E525+E527)/2</f>
        <v>0.75</v>
      </c>
      <c r="G526" s="683">
        <f>F526*D526</f>
        <v>7.5000000000000018</v>
      </c>
      <c r="H526" s="150"/>
      <c r="I526" s="149"/>
      <c r="J526" s="149"/>
      <c r="K526" s="146"/>
      <c r="L526" s="145"/>
      <c r="M526" s="682"/>
      <c r="N526" s="116"/>
      <c r="O526" s="116"/>
    </row>
    <row r="527" spans="1:15" ht="12.75" customHeight="1" x14ac:dyDescent="0.25">
      <c r="A527" s="116"/>
      <c r="B527" s="748" t="s">
        <v>124</v>
      </c>
      <c r="C527" s="692">
        <v>6.2890000000000001E-2</v>
      </c>
      <c r="D527" s="683"/>
      <c r="E527" s="683">
        <v>0</v>
      </c>
      <c r="F527" s="683"/>
      <c r="G527" s="683"/>
      <c r="H527" s="150"/>
      <c r="I527" s="149"/>
      <c r="J527" s="149"/>
      <c r="K527" s="146"/>
      <c r="L527" s="145"/>
      <c r="M527" s="682"/>
      <c r="N527" s="116"/>
      <c r="O527" s="116"/>
    </row>
    <row r="528" spans="1:15" ht="12.75" customHeight="1" x14ac:dyDescent="0.25">
      <c r="A528" s="116"/>
      <c r="B528" s="748"/>
      <c r="C528" s="692"/>
      <c r="D528" s="683">
        <f>(C529-C527)*1000</f>
        <v>11.270000000000003</v>
      </c>
      <c r="E528" s="683"/>
      <c r="F528" s="683">
        <f>(E527+E529)/2</f>
        <v>0</v>
      </c>
      <c r="G528" s="683">
        <f>F528*D528</f>
        <v>0</v>
      </c>
      <c r="H528" s="150"/>
      <c r="I528" s="149"/>
      <c r="J528" s="149"/>
      <c r="K528" s="146"/>
      <c r="L528" s="145"/>
      <c r="M528" s="682"/>
      <c r="N528" s="116"/>
      <c r="O528" s="116"/>
    </row>
    <row r="529" spans="1:15" ht="12.75" customHeight="1" x14ac:dyDescent="0.25">
      <c r="A529" s="116"/>
      <c r="B529" s="330" t="s">
        <v>125</v>
      </c>
      <c r="C529" s="692">
        <v>7.4160000000000004E-2</v>
      </c>
      <c r="D529" s="683"/>
      <c r="E529" s="683">
        <v>0</v>
      </c>
      <c r="F529" s="683"/>
      <c r="G529" s="683"/>
      <c r="H529" s="150"/>
      <c r="I529" s="149"/>
      <c r="J529" s="149"/>
      <c r="K529" s="146"/>
      <c r="L529" s="145"/>
      <c r="M529" s="682"/>
      <c r="N529" s="116"/>
      <c r="O529" s="116"/>
    </row>
    <row r="530" spans="1:15" ht="12.75" customHeight="1" thickBot="1" x14ac:dyDescent="0.3">
      <c r="A530" s="116"/>
      <c r="B530" s="331"/>
      <c r="C530" s="696"/>
      <c r="D530" s="257">
        <f>SUM(D515:D529)</f>
        <v>74.16</v>
      </c>
      <c r="E530" s="697"/>
      <c r="F530" s="332"/>
      <c r="G530" s="332"/>
      <c r="H530" s="150"/>
      <c r="I530" s="149"/>
      <c r="J530" s="149"/>
      <c r="K530" s="146"/>
      <c r="L530" s="145"/>
      <c r="M530" s="682"/>
      <c r="N530" s="116"/>
      <c r="O530" s="116"/>
    </row>
    <row r="531" spans="1:15" ht="12.75" customHeight="1" thickBot="1" x14ac:dyDescent="0.3">
      <c r="A531" s="174"/>
      <c r="B531" s="263" t="s">
        <v>615</v>
      </c>
      <c r="C531" s="264"/>
      <c r="D531" s="6"/>
      <c r="E531" s="7"/>
      <c r="F531" s="6"/>
      <c r="G531" s="334">
        <f>SUM(G515:G529)</f>
        <v>107.1935</v>
      </c>
      <c r="H531" s="55" t="s">
        <v>23</v>
      </c>
      <c r="I531" s="149"/>
      <c r="J531" s="149"/>
      <c r="K531" s="146"/>
      <c r="L531" s="145"/>
      <c r="M531" s="682"/>
      <c r="N531" s="116"/>
      <c r="O531" s="116"/>
    </row>
    <row r="532" spans="1:15" ht="12.75" customHeight="1" x14ac:dyDescent="0.25">
      <c r="A532" s="116"/>
      <c r="B532" s="390"/>
      <c r="C532" s="237"/>
      <c r="D532" s="51"/>
      <c r="E532" s="55"/>
      <c r="F532" s="51"/>
      <c r="G532" s="51"/>
      <c r="H532" s="150"/>
      <c r="I532" s="149"/>
      <c r="J532" s="149"/>
      <c r="K532" s="146"/>
      <c r="L532" s="145"/>
      <c r="M532" s="682"/>
      <c r="N532" s="116"/>
      <c r="O532" s="116"/>
    </row>
    <row r="533" spans="1:15" ht="12.75" customHeight="1" x14ac:dyDescent="0.25">
      <c r="A533" s="116"/>
      <c r="B533" s="56" t="s">
        <v>181</v>
      </c>
      <c r="C533" s="5"/>
      <c r="D533" s="5"/>
      <c r="E533" s="5"/>
      <c r="F533" s="5"/>
      <c r="G533" s="5"/>
      <c r="I533" s="149"/>
      <c r="J533" s="149"/>
      <c r="K533" s="146"/>
      <c r="L533" s="145"/>
      <c r="M533" s="682"/>
      <c r="N533" s="116"/>
      <c r="O533" s="116"/>
    </row>
    <row r="534" spans="1:15" ht="12.75" customHeight="1" x14ac:dyDescent="0.25">
      <c r="A534" s="116"/>
      <c r="B534" s="56" t="s">
        <v>189</v>
      </c>
      <c r="C534" s="5"/>
      <c r="D534" s="5"/>
      <c r="E534" s="5"/>
      <c r="F534" s="420">
        <f>G498+G503</f>
        <v>108.1</v>
      </c>
      <c r="G534" s="5" t="s">
        <v>23</v>
      </c>
      <c r="I534" s="149"/>
      <c r="J534" s="149"/>
      <c r="K534" s="166"/>
      <c r="L534" s="145"/>
      <c r="M534" s="682"/>
      <c r="N534" s="116"/>
      <c r="O534" s="116"/>
    </row>
    <row r="535" spans="1:15" ht="12.75" customHeight="1" x14ac:dyDescent="0.25">
      <c r="A535" s="116"/>
      <c r="B535" s="56" t="s">
        <v>616</v>
      </c>
      <c r="C535" s="5"/>
      <c r="D535" s="5"/>
      <c r="E535" s="5"/>
      <c r="F535" s="420">
        <f>G505</f>
        <v>24</v>
      </c>
      <c r="G535" s="5" t="s">
        <v>23</v>
      </c>
      <c r="I535" s="149"/>
      <c r="J535" s="149"/>
      <c r="K535" s="166"/>
      <c r="L535" s="145"/>
      <c r="M535" s="682"/>
      <c r="N535" s="116"/>
      <c r="O535" s="116"/>
    </row>
    <row r="536" spans="1:15" ht="12.75" customHeight="1" x14ac:dyDescent="0.25">
      <c r="A536" s="116"/>
      <c r="B536" s="399" t="s">
        <v>86</v>
      </c>
      <c r="C536" s="120"/>
      <c r="D536" s="120"/>
      <c r="E536" s="11"/>
      <c r="F536" s="117">
        <f>G531</f>
        <v>107.1935</v>
      </c>
      <c r="G536" s="11" t="s">
        <v>23</v>
      </c>
      <c r="H536" s="116"/>
      <c r="I536" s="149"/>
      <c r="J536" s="149"/>
      <c r="K536" s="166"/>
      <c r="L536" s="145"/>
      <c r="M536" s="682"/>
      <c r="N536" s="116"/>
      <c r="O536" s="116"/>
    </row>
    <row r="537" spans="1:15" ht="12.75" customHeight="1" x14ac:dyDescent="0.25">
      <c r="A537" s="116"/>
      <c r="B537" s="56" t="s">
        <v>617</v>
      </c>
      <c r="C537" s="5"/>
      <c r="D537" s="5"/>
      <c r="E537" s="421"/>
      <c r="F537" s="422">
        <f>SUM(F534:F536)</f>
        <v>239.29349999999999</v>
      </c>
      <c r="G537" s="421" t="s">
        <v>23</v>
      </c>
      <c r="H537" s="116"/>
      <c r="I537" s="149"/>
      <c r="J537" s="149"/>
      <c r="K537" s="166"/>
      <c r="L537" s="145"/>
      <c r="M537" s="682"/>
      <c r="N537" s="116"/>
      <c r="O537" s="116"/>
    </row>
    <row r="538" spans="1:15" ht="12.75" customHeight="1" x14ac:dyDescent="0.25">
      <c r="A538" s="116"/>
      <c r="B538" s="177"/>
      <c r="E538" s="116"/>
      <c r="F538" s="116"/>
      <c r="G538" s="116"/>
      <c r="H538" s="116"/>
      <c r="I538" s="149"/>
      <c r="J538" s="149"/>
      <c r="K538" s="166"/>
      <c r="L538" s="145"/>
      <c r="M538" s="682"/>
      <c r="N538" s="116"/>
      <c r="O538" s="116"/>
    </row>
    <row r="539" spans="1:15" ht="12.75" customHeight="1" x14ac:dyDescent="0.25">
      <c r="A539" s="116"/>
      <c r="B539" s="10" t="s">
        <v>98</v>
      </c>
      <c r="C539" s="290" t="s">
        <v>99</v>
      </c>
      <c r="D539" s="12"/>
      <c r="E539" s="55"/>
      <c r="F539" s="51"/>
      <c r="G539" s="51"/>
      <c r="H539" s="150"/>
      <c r="I539" s="149"/>
      <c r="J539" s="149"/>
      <c r="K539" s="146"/>
      <c r="L539" s="145"/>
      <c r="M539" s="682"/>
      <c r="N539" s="116"/>
      <c r="O539" s="116"/>
    </row>
    <row r="540" spans="1:15" ht="12.75" customHeight="1" x14ac:dyDescent="0.25">
      <c r="A540" s="116"/>
      <c r="B540" s="56" t="s">
        <v>756</v>
      </c>
      <c r="C540" s="14"/>
      <c r="D540" s="51"/>
      <c r="E540" s="55"/>
      <c r="F540" s="51">
        <f>G485</f>
        <v>440.62300000000005</v>
      </c>
      <c r="G540" s="55" t="s">
        <v>23</v>
      </c>
      <c r="H540" s="150"/>
      <c r="I540" s="149"/>
      <c r="J540" s="149"/>
      <c r="K540" s="146"/>
      <c r="L540" s="145"/>
      <c r="M540" s="682"/>
      <c r="N540" s="116"/>
      <c r="O540" s="116"/>
    </row>
    <row r="541" spans="1:15" ht="12.75" customHeight="1" x14ac:dyDescent="0.25">
      <c r="A541" s="116"/>
      <c r="B541" s="177"/>
      <c r="C541" s="130"/>
      <c r="D541" s="149"/>
      <c r="E541" s="150"/>
      <c r="F541" s="149"/>
      <c r="G541" s="150"/>
      <c r="H541" s="150"/>
      <c r="I541" s="149"/>
      <c r="J541" s="149"/>
      <c r="K541" s="166"/>
      <c r="L541" s="145"/>
      <c r="M541" s="682"/>
      <c r="N541" s="116"/>
      <c r="O541" s="116"/>
    </row>
    <row r="542" spans="1:15" ht="12.75" customHeight="1" x14ac:dyDescent="0.25">
      <c r="A542" s="116"/>
      <c r="B542" s="10" t="s">
        <v>100</v>
      </c>
      <c r="C542" s="290" t="s">
        <v>6</v>
      </c>
      <c r="D542" s="12"/>
      <c r="E542" s="55"/>
      <c r="F542" s="51"/>
      <c r="G542" s="51"/>
      <c r="H542" s="55"/>
      <c r="I542" s="149"/>
      <c r="J542" s="149"/>
      <c r="K542" s="146"/>
      <c r="L542" s="145"/>
      <c r="M542" s="682"/>
      <c r="N542" s="116"/>
      <c r="O542" s="116"/>
    </row>
    <row r="543" spans="1:15" ht="12.75" customHeight="1" x14ac:dyDescent="0.25">
      <c r="A543" s="116"/>
      <c r="B543" s="390" t="s">
        <v>161</v>
      </c>
      <c r="C543" s="14"/>
      <c r="D543" s="51"/>
      <c r="E543" s="55"/>
      <c r="F543" s="51"/>
      <c r="G543" s="51"/>
      <c r="H543" s="55"/>
      <c r="I543" s="149"/>
      <c r="J543" s="149"/>
      <c r="K543" s="146"/>
      <c r="L543" s="145"/>
      <c r="M543" s="682"/>
      <c r="N543" s="116"/>
      <c r="O543" s="116"/>
    </row>
    <row r="544" spans="1:15" ht="12.75" customHeight="1" x14ac:dyDescent="0.25">
      <c r="A544" s="116"/>
      <c r="B544" s="390" t="s">
        <v>453</v>
      </c>
      <c r="C544" s="237" t="s">
        <v>176</v>
      </c>
      <c r="D544" s="51"/>
      <c r="E544" s="55"/>
      <c r="F544" s="51"/>
      <c r="G544" s="51">
        <v>46</v>
      </c>
      <c r="H544" s="55" t="s">
        <v>23</v>
      </c>
      <c r="I544" s="149"/>
      <c r="J544" s="149"/>
      <c r="K544" s="146"/>
      <c r="L544" s="145"/>
      <c r="M544" s="682"/>
      <c r="N544" s="116"/>
      <c r="O544" s="116"/>
    </row>
    <row r="545" spans="1:15" ht="12.75" customHeight="1" x14ac:dyDescent="0.25">
      <c r="A545" s="116"/>
      <c r="B545" s="398" t="s">
        <v>175</v>
      </c>
      <c r="C545" s="236" t="s">
        <v>176</v>
      </c>
      <c r="D545" s="52"/>
      <c r="E545" s="57"/>
      <c r="F545" s="52"/>
      <c r="G545" s="52">
        <v>65</v>
      </c>
      <c r="H545" s="57" t="s">
        <v>23</v>
      </c>
      <c r="I545" s="149"/>
      <c r="J545" s="149"/>
      <c r="K545" s="146"/>
      <c r="L545" s="145"/>
      <c r="M545" s="682"/>
      <c r="N545" s="116"/>
      <c r="O545" s="116"/>
    </row>
    <row r="546" spans="1:15" ht="12.75" customHeight="1" x14ac:dyDescent="0.25">
      <c r="A546" s="116"/>
      <c r="B546" s="56" t="s">
        <v>182</v>
      </c>
      <c r="C546" s="14"/>
      <c r="D546" s="51"/>
      <c r="E546" s="55"/>
      <c r="F546" s="51"/>
      <c r="G546" s="51">
        <f>SUM(G544:G545)</f>
        <v>111</v>
      </c>
      <c r="H546" s="55" t="s">
        <v>23</v>
      </c>
      <c r="I546" s="149"/>
      <c r="J546" s="149"/>
      <c r="K546" s="146"/>
      <c r="L546" s="145"/>
      <c r="M546" s="682"/>
      <c r="N546" s="116"/>
      <c r="O546" s="116"/>
    </row>
    <row r="547" spans="1:15" ht="12.75" customHeight="1" x14ac:dyDescent="0.25">
      <c r="A547" s="116"/>
      <c r="B547" s="56"/>
      <c r="C547" s="14"/>
      <c r="D547" s="51"/>
      <c r="E547" s="55"/>
      <c r="F547" s="51"/>
      <c r="G547" s="51"/>
      <c r="H547" s="55"/>
      <c r="I547" s="149"/>
      <c r="J547" s="149"/>
      <c r="K547" s="166"/>
      <c r="L547" s="145"/>
      <c r="M547" s="682"/>
      <c r="N547" s="116"/>
      <c r="O547" s="116"/>
    </row>
    <row r="548" spans="1:15" ht="12.75" customHeight="1" x14ac:dyDescent="0.25">
      <c r="A548" s="116"/>
      <c r="B548" s="10" t="s">
        <v>101</v>
      </c>
      <c r="C548" s="290" t="s">
        <v>735</v>
      </c>
      <c r="D548" s="12"/>
      <c r="E548" s="55"/>
      <c r="F548" s="51"/>
      <c r="G548" s="51"/>
      <c r="H548" s="55"/>
      <c r="I548" s="149"/>
      <c r="J548" s="149"/>
      <c r="K548" s="146"/>
      <c r="L548" s="145"/>
      <c r="M548" s="682"/>
      <c r="N548" s="116"/>
      <c r="O548" s="116"/>
    </row>
    <row r="549" spans="1:15" ht="12.75" customHeight="1" x14ac:dyDescent="0.25">
      <c r="A549" s="116"/>
      <c r="B549" s="56" t="s">
        <v>183</v>
      </c>
      <c r="C549" s="14"/>
      <c r="D549" s="51"/>
      <c r="E549" s="55"/>
      <c r="F549" s="51"/>
      <c r="G549" s="281">
        <f>F537</f>
        <v>239.29349999999999</v>
      </c>
      <c r="H549" s="55" t="s">
        <v>23</v>
      </c>
      <c r="I549" s="149"/>
      <c r="J549" s="149"/>
      <c r="K549" s="146"/>
      <c r="L549" s="145"/>
      <c r="M549" s="682"/>
      <c r="N549" s="116"/>
      <c r="O549" s="116"/>
    </row>
    <row r="550" spans="1:15" ht="12.75" customHeight="1" x14ac:dyDescent="0.25">
      <c r="A550" s="116"/>
      <c r="B550" s="390"/>
      <c r="C550" s="14"/>
      <c r="D550" s="51"/>
      <c r="E550" s="55"/>
      <c r="F550" s="51"/>
      <c r="G550" s="51"/>
      <c r="H550" s="55"/>
      <c r="I550" s="51"/>
      <c r="J550" s="149"/>
      <c r="K550" s="146"/>
      <c r="L550" s="145"/>
      <c r="M550" s="682"/>
      <c r="N550" s="116"/>
      <c r="O550" s="116"/>
    </row>
    <row r="551" spans="1:15" ht="12.75" customHeight="1" x14ac:dyDescent="0.25">
      <c r="A551" s="116"/>
      <c r="B551" s="10" t="s">
        <v>103</v>
      </c>
      <c r="C551" s="290" t="s">
        <v>102</v>
      </c>
      <c r="D551" s="12"/>
      <c r="E551" s="13"/>
      <c r="F551" s="12"/>
      <c r="G551" s="51"/>
      <c r="H551" s="55"/>
      <c r="I551" s="51"/>
      <c r="J551" s="149"/>
      <c r="K551" s="146"/>
      <c r="L551" s="145"/>
      <c r="M551" s="682"/>
      <c r="N551" s="116"/>
      <c r="O551" s="116"/>
    </row>
    <row r="552" spans="1:15" ht="12.75" customHeight="1" x14ac:dyDescent="0.25">
      <c r="A552" s="116"/>
      <c r="B552" s="10" t="s">
        <v>770</v>
      </c>
      <c r="C552" s="290" t="s">
        <v>771</v>
      </c>
      <c r="D552" s="12"/>
      <c r="E552" s="13"/>
      <c r="F552" s="12"/>
      <c r="G552" s="51"/>
      <c r="H552" s="55"/>
      <c r="I552" s="51"/>
      <c r="J552" s="149"/>
      <c r="K552" s="564"/>
      <c r="L552" s="145"/>
      <c r="M552" s="682"/>
      <c r="N552" s="116"/>
      <c r="O552" s="116"/>
    </row>
    <row r="553" spans="1:15" ht="12.75" customHeight="1" x14ac:dyDescent="0.25">
      <c r="A553" s="116"/>
      <c r="B553" s="56" t="s">
        <v>86</v>
      </c>
      <c r="C553" s="14"/>
      <c r="D553" s="51"/>
      <c r="E553" s="55"/>
      <c r="F553" s="51"/>
      <c r="G553" s="51"/>
      <c r="H553" s="55"/>
      <c r="I553" s="51"/>
      <c r="J553" s="149"/>
      <c r="K553" s="146"/>
      <c r="L553" s="145"/>
      <c r="M553" s="682"/>
      <c r="N553" s="116"/>
      <c r="O553" s="116"/>
    </row>
    <row r="554" spans="1:15" ht="12.75" customHeight="1" x14ac:dyDescent="0.25">
      <c r="A554" s="116"/>
      <c r="B554" s="390" t="s">
        <v>184</v>
      </c>
      <c r="C554" s="14"/>
      <c r="D554" s="51">
        <v>5</v>
      </c>
      <c r="E554" s="55" t="s">
        <v>7</v>
      </c>
      <c r="F554" s="51"/>
      <c r="G554" s="51"/>
      <c r="H554" s="55"/>
      <c r="I554" s="51"/>
      <c r="J554" s="149"/>
      <c r="K554" s="146"/>
      <c r="L554" s="145"/>
      <c r="M554" s="682"/>
      <c r="N554" s="116"/>
      <c r="O554" s="116"/>
    </row>
    <row r="555" spans="1:15" ht="12.75" customHeight="1" x14ac:dyDescent="0.25">
      <c r="A555" s="116"/>
      <c r="B555" s="398" t="s">
        <v>141</v>
      </c>
      <c r="C555" s="17"/>
      <c r="D555" s="52">
        <v>45.5</v>
      </c>
      <c r="E555" s="57" t="s">
        <v>7</v>
      </c>
      <c r="F555" s="52"/>
      <c r="G555" s="52"/>
      <c r="H555" s="55" t="s">
        <v>23</v>
      </c>
      <c r="I555" s="51"/>
      <c r="J555" s="149"/>
      <c r="K555" s="146"/>
      <c r="L555" s="145"/>
      <c r="M555" s="682"/>
      <c r="N555" s="116"/>
      <c r="O555" s="116"/>
    </row>
    <row r="556" spans="1:15" ht="12.75" customHeight="1" x14ac:dyDescent="0.25">
      <c r="A556" s="116"/>
      <c r="B556" s="390" t="s">
        <v>31</v>
      </c>
      <c r="C556" s="14"/>
      <c r="D556" s="51"/>
      <c r="E556" s="55"/>
      <c r="F556" s="51"/>
      <c r="G556" s="51">
        <f>D554*D555</f>
        <v>227.5</v>
      </c>
      <c r="H556" s="55"/>
      <c r="I556" s="51"/>
      <c r="J556" s="149"/>
      <c r="K556" s="146"/>
      <c r="L556" s="145"/>
      <c r="M556" s="682"/>
      <c r="N556" s="116"/>
      <c r="O556" s="116"/>
    </row>
    <row r="557" spans="1:15" ht="12.75" customHeight="1" x14ac:dyDescent="0.25">
      <c r="A557" s="116"/>
      <c r="B557" s="399" t="s">
        <v>200</v>
      </c>
      <c r="C557" s="17"/>
      <c r="D557" s="52"/>
      <c r="E557" s="57" t="s">
        <v>618</v>
      </c>
      <c r="F557" s="52"/>
      <c r="G557" s="52">
        <f>5*52</f>
        <v>260</v>
      </c>
      <c r="H557" s="57" t="s">
        <v>23</v>
      </c>
      <c r="I557" s="52"/>
      <c r="J557" s="149"/>
      <c r="K557" s="146"/>
      <c r="L557" s="145"/>
      <c r="M557" s="682"/>
      <c r="N557" s="116"/>
      <c r="O557" s="116"/>
    </row>
    <row r="558" spans="1:15" ht="12.75" customHeight="1" x14ac:dyDescent="0.25">
      <c r="A558" s="116"/>
      <c r="B558" s="390" t="s">
        <v>201</v>
      </c>
      <c r="C558" s="14"/>
      <c r="D558" s="51"/>
      <c r="E558" s="55"/>
      <c r="F558" s="51"/>
      <c r="G558" s="51">
        <f>SUM(G556:G557)</f>
        <v>487.5</v>
      </c>
      <c r="H558" s="55" t="s">
        <v>23</v>
      </c>
      <c r="I558" s="51"/>
      <c r="J558" s="149"/>
      <c r="K558" s="146"/>
      <c r="L558" s="145"/>
      <c r="M558" s="682"/>
      <c r="N558" s="116"/>
      <c r="O558" s="116"/>
    </row>
    <row r="559" spans="1:15" ht="12.75" customHeight="1" x14ac:dyDescent="0.25">
      <c r="A559" s="116"/>
      <c r="B559" s="176"/>
      <c r="C559" s="130"/>
      <c r="D559" s="149"/>
      <c r="E559" s="150"/>
      <c r="F559" s="149"/>
      <c r="G559" s="149"/>
      <c r="H559" s="150"/>
      <c r="I559" s="149"/>
      <c r="J559" s="149"/>
      <c r="K559" s="146"/>
      <c r="L559" s="145"/>
      <c r="M559" s="682"/>
      <c r="N559" s="116"/>
      <c r="O559" s="116"/>
    </row>
    <row r="560" spans="1:15" ht="12.75" customHeight="1" x14ac:dyDescent="0.25">
      <c r="A560" s="172"/>
      <c r="B560" s="401" t="s">
        <v>772</v>
      </c>
      <c r="C560" s="290"/>
      <c r="D560" s="12"/>
      <c r="E560" s="150"/>
      <c r="F560" s="149"/>
      <c r="G560" s="149"/>
      <c r="H560" s="150"/>
      <c r="I560" s="149"/>
      <c r="J560" s="149"/>
      <c r="K560" s="564"/>
      <c r="L560" s="145"/>
      <c r="M560" s="682"/>
      <c r="N560" s="116"/>
      <c r="O560" s="116"/>
    </row>
    <row r="561" spans="1:15" ht="12.75" customHeight="1" x14ac:dyDescent="0.25">
      <c r="A561" s="172"/>
      <c r="B561" s="56" t="s">
        <v>186</v>
      </c>
      <c r="C561" s="14"/>
      <c r="D561" s="51"/>
      <c r="E561" s="150"/>
      <c r="F561" s="149"/>
      <c r="G561" s="149"/>
      <c r="H561" s="150"/>
      <c r="I561" s="149"/>
      <c r="J561" s="149"/>
      <c r="K561" s="564"/>
      <c r="L561" s="145"/>
      <c r="M561" s="682"/>
      <c r="N561" s="116"/>
      <c r="O561" s="116"/>
    </row>
    <row r="562" spans="1:15" ht="12.75" customHeight="1" x14ac:dyDescent="0.25">
      <c r="A562" s="172"/>
      <c r="B562" s="56" t="s">
        <v>776</v>
      </c>
      <c r="C562" s="14"/>
      <c r="D562" s="51"/>
      <c r="E562" s="150"/>
      <c r="F562" s="483">
        <f>1.5*7.5</f>
        <v>11.25</v>
      </c>
      <c r="G562" s="51" t="s">
        <v>23</v>
      </c>
      <c r="H562" s="150"/>
      <c r="I562" s="149"/>
      <c r="J562" s="149"/>
      <c r="K562" s="564"/>
      <c r="L562" s="145"/>
      <c r="M562" s="682"/>
      <c r="N562" s="116"/>
      <c r="O562" s="116"/>
    </row>
    <row r="563" spans="1:15" ht="12.75" customHeight="1" x14ac:dyDescent="0.25">
      <c r="A563" s="116"/>
      <c r="B563" s="56" t="s">
        <v>775</v>
      </c>
      <c r="C563" s="14"/>
      <c r="D563" s="51"/>
      <c r="E563" s="55"/>
      <c r="F563" s="51"/>
      <c r="G563" s="51"/>
      <c r="H563" s="55"/>
      <c r="I563" s="149"/>
      <c r="J563" s="149"/>
      <c r="K563" s="564"/>
      <c r="L563" s="145"/>
      <c r="M563" s="682"/>
      <c r="N563" s="116"/>
      <c r="O563" s="116"/>
    </row>
    <row r="564" spans="1:15" ht="12.75" customHeight="1" x14ac:dyDescent="0.25">
      <c r="A564" s="116"/>
      <c r="B564" s="390" t="s">
        <v>196</v>
      </c>
      <c r="C564" s="14"/>
      <c r="D564" s="51">
        <v>3.1</v>
      </c>
      <c r="E564" s="55" t="s">
        <v>7</v>
      </c>
      <c r="F564" s="51"/>
      <c r="G564" s="51"/>
      <c r="H564" s="55"/>
      <c r="I564" s="149"/>
      <c r="J564" s="149"/>
      <c r="K564" s="564"/>
      <c r="L564" s="145"/>
      <c r="M564" s="682"/>
      <c r="N564" s="116"/>
      <c r="O564" s="116"/>
    </row>
    <row r="565" spans="1:15" ht="12.75" customHeight="1" x14ac:dyDescent="0.25">
      <c r="A565" s="116"/>
      <c r="B565" s="398" t="s">
        <v>26</v>
      </c>
      <c r="C565" s="17"/>
      <c r="D565" s="52">
        <v>76</v>
      </c>
      <c r="E565" s="57" t="s">
        <v>7</v>
      </c>
      <c r="F565" s="52"/>
      <c r="G565" s="52"/>
      <c r="H565" s="57"/>
      <c r="I565" s="149"/>
      <c r="J565" s="149"/>
      <c r="K565" s="564"/>
      <c r="L565" s="145"/>
      <c r="M565" s="682"/>
      <c r="N565" s="116"/>
      <c r="O565" s="116"/>
    </row>
    <row r="566" spans="1:15" ht="12.75" customHeight="1" x14ac:dyDescent="0.25">
      <c r="A566" s="116"/>
      <c r="B566" s="390" t="s">
        <v>31</v>
      </c>
      <c r="C566" s="14"/>
      <c r="D566" s="51"/>
      <c r="E566" s="55"/>
      <c r="F566" s="51">
        <f>D564*D565</f>
        <v>235.6</v>
      </c>
      <c r="G566" s="51" t="s">
        <v>23</v>
      </c>
      <c r="H566" s="55"/>
      <c r="I566" s="149"/>
      <c r="J566" s="149"/>
      <c r="K566" s="564"/>
      <c r="L566" s="145"/>
      <c r="M566" s="682"/>
      <c r="N566" s="116"/>
      <c r="O566" s="116"/>
    </row>
    <row r="567" spans="1:15" ht="12.75" customHeight="1" x14ac:dyDescent="0.25">
      <c r="A567" s="116"/>
      <c r="B567" s="398"/>
      <c r="C567" s="17"/>
      <c r="D567" s="52"/>
      <c r="E567" s="57"/>
      <c r="F567" s="52"/>
      <c r="G567" s="52"/>
      <c r="H567" s="57"/>
      <c r="I567" s="149"/>
      <c r="J567" s="149"/>
      <c r="K567" s="564"/>
      <c r="L567" s="145"/>
      <c r="M567" s="682"/>
      <c r="N567" s="116"/>
      <c r="O567" s="116"/>
    </row>
    <row r="568" spans="1:15" ht="12.75" customHeight="1" x14ac:dyDescent="0.25">
      <c r="A568" s="116"/>
      <c r="B568" s="56" t="s">
        <v>777</v>
      </c>
      <c r="C568" s="14"/>
      <c r="D568" s="51"/>
      <c r="E568" s="55"/>
      <c r="F568" s="51">
        <f>SUM(F562:F566)</f>
        <v>246.85</v>
      </c>
      <c r="G568" s="51" t="s">
        <v>23</v>
      </c>
      <c r="H568" s="55"/>
      <c r="I568" s="149"/>
      <c r="J568" s="149"/>
      <c r="K568" s="564"/>
      <c r="L568" s="145"/>
      <c r="M568" s="682"/>
      <c r="N568" s="116"/>
      <c r="O568" s="116"/>
    </row>
    <row r="569" spans="1:15" ht="12.75" customHeight="1" x14ac:dyDescent="0.25">
      <c r="A569" s="116"/>
      <c r="B569" s="176"/>
      <c r="C569" s="130"/>
      <c r="D569" s="149"/>
      <c r="E569" s="150"/>
      <c r="F569" s="149"/>
      <c r="G569" s="149"/>
      <c r="H569" s="150"/>
      <c r="I569" s="149"/>
      <c r="J569" s="149"/>
      <c r="K569" s="564"/>
      <c r="L569" s="145"/>
      <c r="M569" s="682"/>
      <c r="N569" s="116"/>
      <c r="O569" s="116"/>
    </row>
    <row r="570" spans="1:15" ht="12.75" customHeight="1" x14ac:dyDescent="0.25">
      <c r="A570" s="116"/>
      <c r="B570" s="556" t="s">
        <v>703</v>
      </c>
      <c r="C570" s="557"/>
      <c r="D570" s="558"/>
      <c r="E570" s="557"/>
      <c r="F570" s="557"/>
      <c r="G570" s="55"/>
      <c r="H570" s="5"/>
      <c r="I570" s="1"/>
      <c r="J570" s="1"/>
      <c r="K570" s="439"/>
      <c r="L570" s="145"/>
      <c r="M570" s="682"/>
      <c r="N570" s="116"/>
      <c r="O570" s="116"/>
    </row>
    <row r="571" spans="1:15" ht="12.75" customHeight="1" x14ac:dyDescent="0.25">
      <c r="A571" s="116"/>
      <c r="B571" s="517" t="s">
        <v>704</v>
      </c>
      <c r="C571" s="517"/>
      <c r="D571" s="23"/>
      <c r="E571" s="23"/>
      <c r="F571" s="23"/>
      <c r="G571" s="23"/>
      <c r="H571" s="1"/>
      <c r="I571" s="1"/>
      <c r="J571" s="1"/>
      <c r="K571" s="439"/>
      <c r="L571" s="145"/>
      <c r="M571" s="682"/>
      <c r="N571" s="116"/>
      <c r="O571" s="116"/>
    </row>
    <row r="572" spans="1:15" ht="12.75" customHeight="1" x14ac:dyDescent="0.25">
      <c r="A572" s="116"/>
      <c r="B572" s="23" t="s">
        <v>706</v>
      </c>
      <c r="C572" s="23"/>
      <c r="D572" s="23"/>
      <c r="E572" s="23"/>
      <c r="F572" s="23"/>
      <c r="G572" s="23"/>
      <c r="H572" s="1"/>
      <c r="I572" s="1"/>
      <c r="J572" s="1"/>
      <c r="K572" s="439"/>
      <c r="L572" s="145"/>
      <c r="M572" s="682"/>
      <c r="N572" s="116"/>
      <c r="O572" s="116"/>
    </row>
    <row r="573" spans="1:15" ht="12.75" customHeight="1" x14ac:dyDescent="0.25">
      <c r="A573" s="116"/>
      <c r="B573" s="23" t="s">
        <v>682</v>
      </c>
      <c r="C573" s="23"/>
      <c r="D573" s="23"/>
      <c r="E573" s="511">
        <v>3.5</v>
      </c>
      <c r="F573" s="23" t="s">
        <v>23</v>
      </c>
      <c r="G573" s="23"/>
      <c r="H573" s="1"/>
      <c r="I573" s="1"/>
      <c r="J573" s="1"/>
      <c r="K573" s="439"/>
      <c r="L573" s="145"/>
      <c r="M573" s="682"/>
      <c r="N573" s="116"/>
      <c r="O573" s="116"/>
    </row>
    <row r="574" spans="1:15" ht="12.75" customHeight="1" x14ac:dyDescent="0.25">
      <c r="A574" s="116"/>
      <c r="B574" s="512" t="s">
        <v>685</v>
      </c>
      <c r="C574" s="23"/>
      <c r="D574" s="23"/>
      <c r="E574" s="23">
        <v>50</v>
      </c>
      <c r="F574" s="23" t="s">
        <v>7</v>
      </c>
      <c r="G574" s="23"/>
      <c r="H574" s="1"/>
      <c r="I574" s="1"/>
      <c r="J574" s="1"/>
      <c r="K574" s="439"/>
      <c r="L574" s="145"/>
      <c r="M574" s="682"/>
      <c r="N574" s="116"/>
      <c r="O574" s="116"/>
    </row>
    <row r="575" spans="1:15" ht="12.75" customHeight="1" x14ac:dyDescent="0.25">
      <c r="A575" s="116"/>
      <c r="B575" s="513" t="s">
        <v>686</v>
      </c>
      <c r="C575" s="23"/>
      <c r="D575" s="23"/>
      <c r="E575" s="23">
        <v>20</v>
      </c>
      <c r="F575" s="23" t="s">
        <v>7</v>
      </c>
      <c r="G575" s="23"/>
      <c r="H575" s="1"/>
      <c r="I575" s="1"/>
      <c r="J575" s="1"/>
      <c r="K575" s="439"/>
      <c r="L575" s="145"/>
      <c r="M575" s="682"/>
      <c r="N575" s="116"/>
      <c r="O575" s="116"/>
    </row>
    <row r="576" spans="1:15" ht="12.75" customHeight="1" x14ac:dyDescent="0.25">
      <c r="A576" s="116"/>
      <c r="B576" s="514" t="s">
        <v>687</v>
      </c>
      <c r="C576" s="515"/>
      <c r="D576" s="515"/>
      <c r="E576" s="515">
        <f>E574+E575</f>
        <v>70</v>
      </c>
      <c r="F576" s="515" t="s">
        <v>7</v>
      </c>
      <c r="G576" s="515"/>
      <c r="H576" s="516"/>
      <c r="I576" s="1"/>
      <c r="J576" s="1"/>
      <c r="K576" s="439"/>
      <c r="L576" s="145"/>
      <c r="M576" s="682"/>
      <c r="N576" s="116"/>
      <c r="O576" s="116"/>
    </row>
    <row r="577" spans="1:15" ht="12.75" customHeight="1" x14ac:dyDescent="0.25">
      <c r="A577" s="116"/>
      <c r="B577" s="1" t="s">
        <v>22</v>
      </c>
      <c r="C577" s="23"/>
      <c r="D577" s="23"/>
      <c r="E577" s="23"/>
      <c r="F577" s="23"/>
      <c r="G577" s="23">
        <f>E573*E576</f>
        <v>245</v>
      </c>
      <c r="H577" s="1" t="s">
        <v>24</v>
      </c>
      <c r="I577" s="1"/>
      <c r="J577" s="1"/>
      <c r="K577" s="439"/>
      <c r="L577" s="145"/>
      <c r="M577" s="682"/>
      <c r="N577" s="116"/>
      <c r="O577" s="116"/>
    </row>
    <row r="578" spans="1:15" ht="12.75" customHeight="1" x14ac:dyDescent="0.25">
      <c r="A578" s="116"/>
      <c r="B578" s="1"/>
      <c r="C578" s="1"/>
      <c r="D578" s="1"/>
      <c r="E578" s="1"/>
      <c r="F578" s="1"/>
      <c r="G578" s="1"/>
      <c r="H578" s="1"/>
      <c r="I578" s="1"/>
      <c r="J578" s="1"/>
      <c r="K578" s="439"/>
      <c r="L578" s="145"/>
      <c r="M578" s="682"/>
      <c r="N578" s="116"/>
      <c r="O578" s="116"/>
    </row>
    <row r="579" spans="1:15" ht="12.75" customHeight="1" x14ac:dyDescent="0.25">
      <c r="A579" s="116"/>
      <c r="B579" s="1" t="s">
        <v>707</v>
      </c>
      <c r="C579" s="1"/>
      <c r="D579" s="1"/>
      <c r="E579" s="1"/>
      <c r="F579" s="1"/>
      <c r="G579" s="1"/>
      <c r="H579" s="1"/>
      <c r="I579" s="1"/>
      <c r="J579" s="1"/>
      <c r="K579" s="439"/>
      <c r="L579" s="145"/>
      <c r="M579" s="682"/>
      <c r="N579" s="116"/>
      <c r="O579" s="116"/>
    </row>
    <row r="580" spans="1:15" ht="12.75" customHeight="1" x14ac:dyDescent="0.25">
      <c r="A580" s="116"/>
      <c r="B580" s="1" t="s">
        <v>682</v>
      </c>
      <c r="C580" s="1"/>
      <c r="D580" s="1"/>
      <c r="E580" s="510">
        <v>3.5</v>
      </c>
      <c r="F580" s="1" t="s">
        <v>23</v>
      </c>
      <c r="G580" s="1"/>
      <c r="H580" s="1"/>
      <c r="I580" s="1"/>
      <c r="J580" s="1"/>
      <c r="K580" s="439"/>
      <c r="L580" s="145"/>
      <c r="M580" s="682"/>
      <c r="N580" s="116"/>
      <c r="O580" s="116"/>
    </row>
    <row r="581" spans="1:15" ht="12.75" customHeight="1" x14ac:dyDescent="0.25">
      <c r="A581" s="116"/>
      <c r="B581" s="512" t="s">
        <v>685</v>
      </c>
      <c r="C581" s="23"/>
      <c r="D581" s="1"/>
      <c r="E581" s="1">
        <v>43.8</v>
      </c>
      <c r="F581" s="1"/>
      <c r="G581" s="1"/>
      <c r="H581" s="1"/>
      <c r="I581" s="1"/>
      <c r="J581" s="1"/>
      <c r="K581" s="439"/>
      <c r="L581" s="145"/>
      <c r="M581" s="682"/>
      <c r="N581" s="116"/>
      <c r="O581" s="116"/>
    </row>
    <row r="582" spans="1:15" ht="12.75" customHeight="1" x14ac:dyDescent="0.25">
      <c r="A582" s="116"/>
      <c r="B582" s="513" t="s">
        <v>688</v>
      </c>
      <c r="C582" s="23"/>
      <c r="D582" s="1"/>
      <c r="E582" s="1">
        <v>23.1</v>
      </c>
      <c r="F582" s="1" t="s">
        <v>7</v>
      </c>
      <c r="G582" s="1"/>
      <c r="H582" s="1"/>
      <c r="I582" s="1"/>
      <c r="J582" s="1"/>
      <c r="K582" s="439"/>
      <c r="L582" s="145"/>
      <c r="M582" s="682"/>
      <c r="N582" s="116"/>
      <c r="O582" s="116"/>
    </row>
    <row r="583" spans="1:15" ht="12.75" customHeight="1" x14ac:dyDescent="0.25">
      <c r="A583" s="116"/>
      <c r="B583" s="514" t="s">
        <v>687</v>
      </c>
      <c r="C583" s="515"/>
      <c r="D583" s="515"/>
      <c r="E583" s="515">
        <f>E581+E582</f>
        <v>66.900000000000006</v>
      </c>
      <c r="F583" s="515" t="s">
        <v>7</v>
      </c>
      <c r="G583" s="515"/>
      <c r="H583" s="516"/>
      <c r="I583" s="1"/>
      <c r="J583" s="1"/>
      <c r="K583" s="439"/>
      <c r="L583" s="145"/>
      <c r="M583" s="682"/>
      <c r="N583" s="116"/>
      <c r="O583" s="116"/>
    </row>
    <row r="584" spans="1:15" ht="12.75" customHeight="1" x14ac:dyDescent="0.25">
      <c r="A584" s="116"/>
      <c r="B584" s="1" t="s">
        <v>22</v>
      </c>
      <c r="C584" s="23"/>
      <c r="D584" s="23"/>
      <c r="E584" s="23"/>
      <c r="F584" s="23"/>
      <c r="G584" s="23">
        <f>E580*E583</f>
        <v>234.15000000000003</v>
      </c>
      <c r="H584" s="1" t="s">
        <v>24</v>
      </c>
      <c r="I584" s="1"/>
      <c r="J584" s="1"/>
      <c r="K584" s="439"/>
      <c r="L584" s="145"/>
      <c r="M584" s="682"/>
      <c r="N584" s="116"/>
      <c r="O584" s="116"/>
    </row>
    <row r="585" spans="1:15" ht="12.75" customHeight="1" x14ac:dyDescent="0.25">
      <c r="A585" s="116"/>
      <c r="B585" s="1"/>
      <c r="C585" s="1"/>
      <c r="D585" s="1"/>
      <c r="E585" s="1"/>
      <c r="F585" s="1"/>
      <c r="G585" s="1"/>
      <c r="H585" s="1"/>
      <c r="I585" s="1"/>
      <c r="J585" s="1"/>
      <c r="K585" s="439"/>
      <c r="L585" s="145"/>
      <c r="M585" s="682"/>
      <c r="N585" s="116"/>
      <c r="O585" s="116"/>
    </row>
    <row r="586" spans="1:15" ht="12.75" customHeight="1" x14ac:dyDescent="0.25">
      <c r="A586" s="116"/>
      <c r="B586" s="21" t="s">
        <v>683</v>
      </c>
      <c r="C586" s="21"/>
      <c r="D586" s="21"/>
      <c r="E586" s="21"/>
      <c r="F586" s="21"/>
      <c r="G586" s="21"/>
      <c r="H586" s="21"/>
      <c r="I586" s="21"/>
      <c r="J586" s="1"/>
      <c r="K586" s="439"/>
      <c r="L586" s="145"/>
      <c r="M586" s="682"/>
      <c r="N586" s="116"/>
      <c r="O586" s="116"/>
    </row>
    <row r="587" spans="1:15" ht="12.75" customHeight="1" x14ac:dyDescent="0.25">
      <c r="A587" s="116"/>
      <c r="B587" s="21" t="s">
        <v>196</v>
      </c>
      <c r="C587" s="21"/>
      <c r="D587" s="21"/>
      <c r="E587" s="21">
        <v>12.5</v>
      </c>
      <c r="F587" s="21" t="s">
        <v>7</v>
      </c>
      <c r="G587" s="21"/>
      <c r="H587" s="21"/>
      <c r="I587" s="21"/>
      <c r="J587" s="1"/>
      <c r="K587" s="146"/>
      <c r="L587" s="145"/>
      <c r="M587" s="682"/>
      <c r="N587" s="116"/>
      <c r="O587" s="116"/>
    </row>
    <row r="588" spans="1:15" ht="12.75" customHeight="1" x14ac:dyDescent="0.25">
      <c r="A588" s="116"/>
      <c r="B588" s="21" t="s">
        <v>26</v>
      </c>
      <c r="C588" s="21"/>
      <c r="D588" s="21"/>
      <c r="E588" s="21">
        <v>15.3</v>
      </c>
      <c r="F588" s="21" t="s">
        <v>7</v>
      </c>
      <c r="G588" s="21"/>
      <c r="H588" s="21"/>
      <c r="I588" s="21"/>
      <c r="J588" s="1"/>
      <c r="K588" s="146"/>
      <c r="L588" s="145"/>
      <c r="M588" s="682"/>
      <c r="N588" s="116"/>
      <c r="O588" s="116"/>
    </row>
    <row r="589" spans="1:15" ht="12.75" customHeight="1" x14ac:dyDescent="0.25">
      <c r="A589" s="116"/>
      <c r="B589" s="21" t="s">
        <v>569</v>
      </c>
      <c r="C589" s="21"/>
      <c r="D589" s="21"/>
      <c r="E589" s="21">
        <v>0.8</v>
      </c>
      <c r="F589" s="21" t="s">
        <v>7</v>
      </c>
      <c r="G589" s="21"/>
      <c r="H589" s="21"/>
      <c r="I589" s="21"/>
      <c r="J589" s="1"/>
      <c r="K589" s="146"/>
      <c r="L589" s="145"/>
      <c r="M589" s="682"/>
      <c r="N589" s="116"/>
      <c r="O589" s="116"/>
    </row>
    <row r="590" spans="1:15" ht="12.75" customHeight="1" x14ac:dyDescent="0.25">
      <c r="A590" s="116"/>
      <c r="B590" s="21" t="s">
        <v>22</v>
      </c>
      <c r="C590" s="21"/>
      <c r="D590" s="21"/>
      <c r="E590" s="21"/>
      <c r="F590" s="21"/>
      <c r="G590" s="21">
        <f>E587*E588*E589</f>
        <v>153</v>
      </c>
      <c r="H590" s="21" t="s">
        <v>24</v>
      </c>
      <c r="I590" s="21"/>
      <c r="J590" s="1"/>
      <c r="K590" s="146"/>
      <c r="L590" s="145"/>
      <c r="M590" s="682"/>
      <c r="N590" s="116"/>
      <c r="O590" s="116"/>
    </row>
    <row r="591" spans="1:15" ht="12.75" customHeight="1" x14ac:dyDescent="0.25">
      <c r="A591" s="116"/>
      <c r="B591" s="21"/>
      <c r="C591" s="21"/>
      <c r="D591" s="21"/>
      <c r="E591" s="21"/>
      <c r="F591" s="21"/>
      <c r="G591" s="21"/>
      <c r="H591" s="21"/>
      <c r="I591" s="21"/>
      <c r="J591" s="1"/>
      <c r="K591" s="146"/>
      <c r="L591" s="145"/>
      <c r="M591" s="682"/>
      <c r="N591" s="116"/>
      <c r="O591" s="116"/>
    </row>
    <row r="592" spans="1:15" ht="12.75" customHeight="1" x14ac:dyDescent="0.25">
      <c r="A592" s="116"/>
      <c r="B592" s="21" t="s">
        <v>708</v>
      </c>
      <c r="C592" s="21"/>
      <c r="D592" s="21"/>
      <c r="E592" s="21"/>
      <c r="F592" s="21"/>
      <c r="G592" s="21"/>
      <c r="H592" s="21"/>
      <c r="I592" s="21"/>
      <c r="J592" s="1"/>
      <c r="K592" s="146"/>
      <c r="L592" s="145"/>
      <c r="M592" s="682"/>
      <c r="N592" s="116"/>
      <c r="O592" s="116"/>
    </row>
    <row r="593" spans="1:15" ht="12.75" customHeight="1" x14ac:dyDescent="0.25">
      <c r="A593" s="116"/>
      <c r="B593" s="21" t="s">
        <v>689</v>
      </c>
      <c r="C593" s="21"/>
      <c r="D593" s="21"/>
      <c r="E593" s="21">
        <v>37</v>
      </c>
      <c r="F593" s="21" t="s">
        <v>23</v>
      </c>
      <c r="G593" s="21"/>
      <c r="H593" s="21"/>
      <c r="I593" s="21"/>
      <c r="J593" s="1"/>
      <c r="K593" s="146"/>
      <c r="L593" s="145"/>
      <c r="M593" s="682"/>
      <c r="N593" s="116"/>
      <c r="O593" s="116"/>
    </row>
    <row r="594" spans="1:15" ht="12.75" customHeight="1" x14ac:dyDescent="0.25">
      <c r="A594" s="116"/>
      <c r="B594" s="21" t="s">
        <v>187</v>
      </c>
      <c r="C594" s="21"/>
      <c r="D594" s="21"/>
      <c r="E594" s="21">
        <v>1.2</v>
      </c>
      <c r="F594" s="21" t="s">
        <v>7</v>
      </c>
      <c r="G594" s="21"/>
      <c r="H594" s="21"/>
      <c r="I594" s="21"/>
      <c r="J594" s="1"/>
      <c r="K594" s="146"/>
      <c r="L594" s="145"/>
      <c r="M594" s="682"/>
      <c r="N594" s="116"/>
      <c r="O594" s="116"/>
    </row>
    <row r="595" spans="1:15" ht="12.75" customHeight="1" x14ac:dyDescent="0.25">
      <c r="A595" s="116"/>
      <c r="B595" s="21" t="s">
        <v>22</v>
      </c>
      <c r="C595" s="21"/>
      <c r="D595" s="21"/>
      <c r="E595" s="21"/>
      <c r="F595" s="21"/>
      <c r="G595" s="21">
        <f>E593*E594</f>
        <v>44.4</v>
      </c>
      <c r="H595" s="21" t="s">
        <v>24</v>
      </c>
      <c r="I595" s="21"/>
      <c r="J595" s="1"/>
      <c r="K595" s="146"/>
      <c r="L595" s="145"/>
      <c r="M595" s="682"/>
      <c r="N595" s="116"/>
      <c r="O595" s="116"/>
    </row>
    <row r="596" spans="1:15" ht="12.75" customHeight="1" x14ac:dyDescent="0.25">
      <c r="A596" s="116"/>
      <c r="B596" s="517" t="s">
        <v>709</v>
      </c>
      <c r="C596" s="517"/>
      <c r="D596" s="23"/>
      <c r="E596" s="21"/>
      <c r="F596" s="21"/>
      <c r="G596" s="21"/>
      <c r="H596" s="21"/>
      <c r="I596" s="21"/>
      <c r="J596" s="1"/>
      <c r="K596" s="146"/>
      <c r="L596" s="145"/>
      <c r="M596" s="682"/>
      <c r="N596" s="116"/>
      <c r="O596" s="116"/>
    </row>
    <row r="597" spans="1:15" ht="12.75" customHeight="1" x14ac:dyDescent="0.25">
      <c r="A597" s="116"/>
      <c r="B597" s="517" t="s">
        <v>405</v>
      </c>
      <c r="C597" s="517"/>
      <c r="D597" s="23"/>
      <c r="E597" s="21"/>
      <c r="F597" s="21"/>
      <c r="G597" s="21"/>
      <c r="H597" s="21"/>
      <c r="I597" s="21"/>
      <c r="J597" s="1"/>
      <c r="K597" s="439"/>
      <c r="L597" s="145"/>
      <c r="M597" s="682"/>
      <c r="N597" s="116"/>
      <c r="O597" s="116"/>
    </row>
    <row r="598" spans="1:15" ht="12.75" customHeight="1" x14ac:dyDescent="0.25">
      <c r="A598" s="116"/>
      <c r="B598" s="21" t="s">
        <v>690</v>
      </c>
      <c r="C598" s="21"/>
      <c r="D598" s="21"/>
      <c r="E598" s="21"/>
      <c r="F598" s="21"/>
      <c r="G598" s="21"/>
      <c r="H598" s="21"/>
      <c r="I598" s="21"/>
      <c r="J598" s="1"/>
      <c r="K598" s="146"/>
      <c r="L598" s="145"/>
      <c r="M598" s="682"/>
      <c r="N598" s="116"/>
      <c r="O598" s="116"/>
    </row>
    <row r="599" spans="1:15" ht="12.75" customHeight="1" x14ac:dyDescent="0.25">
      <c r="A599" s="116"/>
      <c r="B599" s="21" t="s">
        <v>21</v>
      </c>
      <c r="C599" s="21"/>
      <c r="D599" s="21">
        <v>2.2000000000000002</v>
      </c>
      <c r="E599" s="21" t="s">
        <v>23</v>
      </c>
      <c r="F599" s="21"/>
      <c r="G599" s="21"/>
      <c r="H599" s="21"/>
      <c r="I599" s="21"/>
      <c r="J599" s="1"/>
      <c r="K599" s="146"/>
      <c r="L599" s="145"/>
      <c r="M599" s="682"/>
      <c r="N599" s="116"/>
      <c r="O599" s="116"/>
    </row>
    <row r="600" spans="1:15" ht="12.75" customHeight="1" x14ac:dyDescent="0.25">
      <c r="A600" s="116"/>
      <c r="B600" s="518" t="s">
        <v>141</v>
      </c>
      <c r="C600" s="518"/>
      <c r="D600" s="518">
        <v>32</v>
      </c>
      <c r="E600" s="518" t="s">
        <v>7</v>
      </c>
      <c r="F600" s="518"/>
      <c r="G600" s="518"/>
      <c r="H600" s="518"/>
      <c r="I600" s="21"/>
      <c r="J600" s="1"/>
      <c r="K600" s="146"/>
      <c r="L600" s="145"/>
      <c r="M600" s="682"/>
      <c r="N600" s="116"/>
      <c r="O600" s="116"/>
    </row>
    <row r="601" spans="1:15" ht="12.75" customHeight="1" x14ac:dyDescent="0.25">
      <c r="A601" s="116"/>
      <c r="B601" s="21" t="s">
        <v>22</v>
      </c>
      <c r="C601" s="21"/>
      <c r="D601" s="21"/>
      <c r="E601" s="21"/>
      <c r="F601" s="21"/>
      <c r="G601" s="21">
        <f>D599*D600 * 1.15</f>
        <v>80.959999999999994</v>
      </c>
      <c r="H601" s="21" t="s">
        <v>24</v>
      </c>
      <c r="I601" s="21"/>
      <c r="J601" s="1"/>
      <c r="K601" s="146"/>
      <c r="L601" s="145"/>
      <c r="M601" s="682"/>
      <c r="N601" s="116"/>
      <c r="O601" s="116"/>
    </row>
    <row r="602" spans="1:15" ht="12.75" customHeight="1" x14ac:dyDescent="0.25">
      <c r="A602" s="116"/>
      <c r="B602" s="521"/>
      <c r="C602" s="1"/>
      <c r="D602" s="1"/>
      <c r="E602" s="1"/>
      <c r="F602" s="1"/>
      <c r="G602" s="1"/>
      <c r="H602" s="1"/>
      <c r="I602" s="1"/>
      <c r="J602" s="1"/>
      <c r="K602" s="146"/>
      <c r="L602" s="145"/>
      <c r="M602" s="682"/>
      <c r="N602" s="116"/>
      <c r="O602" s="116"/>
    </row>
    <row r="603" spans="1:15" ht="12.75" customHeight="1" x14ac:dyDescent="0.25">
      <c r="A603" s="116"/>
      <c r="B603" s="520" t="s">
        <v>697</v>
      </c>
      <c r="C603" s="1"/>
      <c r="D603" s="1"/>
      <c r="E603" s="1"/>
      <c r="F603" s="1"/>
      <c r="G603" s="1"/>
      <c r="H603" s="1"/>
      <c r="I603" s="1"/>
      <c r="J603" s="1"/>
      <c r="K603" s="146"/>
      <c r="L603" s="145"/>
      <c r="M603" s="682"/>
      <c r="N603" s="116"/>
      <c r="O603" s="116"/>
    </row>
    <row r="604" spans="1:15" ht="12.75" customHeight="1" x14ac:dyDescent="0.25">
      <c r="A604" s="116"/>
      <c r="B604" s="520" t="s">
        <v>144</v>
      </c>
      <c r="C604" s="1"/>
      <c r="D604" s="1">
        <v>18.5</v>
      </c>
      <c r="E604" s="1" t="s">
        <v>23</v>
      </c>
      <c r="F604" s="1"/>
      <c r="G604" s="1"/>
      <c r="H604" s="1"/>
      <c r="I604" s="1"/>
      <c r="J604" s="1"/>
      <c r="K604" s="146"/>
      <c r="L604" s="145"/>
      <c r="M604" s="682"/>
      <c r="N604" s="116"/>
      <c r="O604" s="116"/>
    </row>
    <row r="605" spans="1:15" ht="12.75" customHeight="1" x14ac:dyDescent="0.25">
      <c r="A605" s="116"/>
      <c r="B605" s="522" t="s">
        <v>691</v>
      </c>
      <c r="C605" s="516"/>
      <c r="D605" s="516">
        <v>1</v>
      </c>
      <c r="E605" s="516" t="s">
        <v>23</v>
      </c>
      <c r="F605" s="516"/>
      <c r="G605" s="516"/>
      <c r="H605" s="516"/>
      <c r="I605" s="1"/>
      <c r="J605" s="1"/>
      <c r="K605" s="146"/>
      <c r="L605" s="145"/>
      <c r="M605" s="682"/>
      <c r="N605" s="116"/>
      <c r="O605" s="116"/>
    </row>
    <row r="606" spans="1:15" ht="12.75" customHeight="1" x14ac:dyDescent="0.25">
      <c r="A606" s="116"/>
      <c r="B606" s="21" t="s">
        <v>22</v>
      </c>
      <c r="C606" s="21"/>
      <c r="D606" s="21"/>
      <c r="E606" s="21"/>
      <c r="F606" s="21"/>
      <c r="G606" s="519">
        <f>D604*D605 * 1.15</f>
        <v>21.274999999999999</v>
      </c>
      <c r="H606" s="21" t="s">
        <v>24</v>
      </c>
      <c r="I606" s="1"/>
      <c r="J606" s="1"/>
      <c r="K606" s="146"/>
      <c r="L606" s="145"/>
      <c r="M606" s="682"/>
      <c r="N606" s="116"/>
      <c r="O606" s="116"/>
    </row>
    <row r="607" spans="1:15" ht="12.75" customHeight="1" x14ac:dyDescent="0.25">
      <c r="A607" s="116"/>
      <c r="B607" s="21"/>
      <c r="C607" s="21"/>
      <c r="D607" s="21"/>
      <c r="E607" s="21"/>
      <c r="F607" s="21"/>
      <c r="G607" s="519"/>
      <c r="H607" s="21"/>
      <c r="I607" s="1"/>
      <c r="J607" s="1"/>
      <c r="K607" s="439"/>
      <c r="L607" s="145"/>
      <c r="M607" s="682"/>
      <c r="N607" s="116"/>
      <c r="O607" s="116"/>
    </row>
    <row r="608" spans="1:15" ht="12.75" customHeight="1" x14ac:dyDescent="0.25">
      <c r="A608" s="116"/>
      <c r="B608" s="520" t="s">
        <v>705</v>
      </c>
      <c r="C608" s="1"/>
      <c r="D608" s="1"/>
      <c r="E608" s="21"/>
      <c r="F608" s="21"/>
      <c r="G608" s="519"/>
      <c r="H608" s="21"/>
      <c r="I608" s="1"/>
      <c r="J608" s="1"/>
      <c r="K608" s="146"/>
      <c r="L608" s="145"/>
      <c r="M608" s="682"/>
      <c r="N608" s="116"/>
      <c r="O608" s="116"/>
    </row>
    <row r="609" spans="1:15" ht="12.75" customHeight="1" x14ac:dyDescent="0.25">
      <c r="A609" s="116"/>
      <c r="B609" s="23" t="s">
        <v>682</v>
      </c>
      <c r="C609" s="23"/>
      <c r="D609" s="23"/>
      <c r="E609" s="511">
        <v>3.5</v>
      </c>
      <c r="F609" s="23" t="s">
        <v>23</v>
      </c>
      <c r="G609" s="519"/>
      <c r="H609" s="21"/>
      <c r="I609" s="1"/>
      <c r="J609" s="1"/>
      <c r="K609" s="146"/>
      <c r="L609" s="145"/>
      <c r="M609" s="682"/>
      <c r="N609" s="116"/>
      <c r="O609" s="116"/>
    </row>
    <row r="610" spans="1:15" ht="12.75" customHeight="1" x14ac:dyDescent="0.25">
      <c r="A610" s="116"/>
      <c r="B610" s="523" t="s">
        <v>685</v>
      </c>
      <c r="C610" s="515"/>
      <c r="D610" s="515"/>
      <c r="E610" s="515">
        <v>25</v>
      </c>
      <c r="F610" s="515" t="s">
        <v>7</v>
      </c>
      <c r="G610" s="524"/>
      <c r="H610" s="518"/>
      <c r="I610" s="1"/>
      <c r="J610" s="1"/>
      <c r="K610" s="146"/>
      <c r="L610" s="145"/>
      <c r="M610" s="682"/>
      <c r="N610" s="116"/>
      <c r="O610" s="116"/>
    </row>
    <row r="611" spans="1:15" ht="12.75" customHeight="1" x14ac:dyDescent="0.25">
      <c r="A611" s="116"/>
      <c r="B611" s="21" t="s">
        <v>22</v>
      </c>
      <c r="C611" s="21"/>
      <c r="D611" s="21"/>
      <c r="E611" s="21"/>
      <c r="F611" s="21"/>
      <c r="G611" s="519">
        <f>E609*E610</f>
        <v>87.5</v>
      </c>
      <c r="H611" s="21" t="s">
        <v>24</v>
      </c>
      <c r="I611" s="1"/>
      <c r="J611" s="1"/>
      <c r="K611" s="146"/>
      <c r="L611" s="145"/>
      <c r="M611" s="682"/>
      <c r="N611" s="116"/>
      <c r="O611" s="116"/>
    </row>
    <row r="612" spans="1:15" ht="12.75" customHeight="1" x14ac:dyDescent="0.25">
      <c r="A612" s="116"/>
      <c r="B612" s="520"/>
      <c r="C612" s="1"/>
      <c r="D612" s="1"/>
      <c r="E612" s="21"/>
      <c r="F612" s="21"/>
      <c r="G612" s="519"/>
      <c r="H612" s="21"/>
      <c r="I612" s="1"/>
      <c r="J612" s="1"/>
      <c r="K612" s="146"/>
      <c r="L612" s="145"/>
      <c r="M612" s="682"/>
      <c r="N612" s="116"/>
      <c r="O612" s="116"/>
    </row>
    <row r="613" spans="1:15" ht="12.75" customHeight="1" x14ac:dyDescent="0.25">
      <c r="A613" s="116"/>
      <c r="B613" s="4" t="s">
        <v>684</v>
      </c>
      <c r="C613" s="4"/>
      <c r="D613" s="4"/>
      <c r="E613" s="21"/>
      <c r="F613" s="21"/>
      <c r="G613" s="519"/>
      <c r="H613" s="21"/>
      <c r="I613" s="1"/>
      <c r="J613" s="1"/>
      <c r="K613" s="146"/>
      <c r="L613" s="145"/>
      <c r="M613" s="682"/>
      <c r="N613" s="116"/>
      <c r="O613" s="116"/>
    </row>
    <row r="614" spans="1:15" ht="12.75" customHeight="1" x14ac:dyDescent="0.25">
      <c r="A614" s="116"/>
      <c r="B614" s="4" t="s">
        <v>58</v>
      </c>
      <c r="C614" s="1"/>
      <c r="D614" s="1"/>
      <c r="E614" s="1"/>
      <c r="F614" s="1"/>
      <c r="G614" s="1"/>
      <c r="H614" s="1"/>
      <c r="I614" s="1"/>
      <c r="J614" s="1"/>
      <c r="K614" s="146"/>
      <c r="L614" s="145"/>
      <c r="M614" s="682"/>
      <c r="N614" s="116"/>
      <c r="O614" s="116"/>
    </row>
    <row r="615" spans="1:15" ht="12.75" customHeight="1" x14ac:dyDescent="0.25">
      <c r="A615" s="116"/>
      <c r="B615" s="520" t="s">
        <v>298</v>
      </c>
      <c r="C615" s="520"/>
      <c r="D615" s="520"/>
      <c r="E615" s="520"/>
      <c r="F615" s="520"/>
      <c r="G615" s="520"/>
      <c r="H615" s="520"/>
      <c r="I615" s="520"/>
      <c r="J615" s="1"/>
      <c r="K615" s="146"/>
      <c r="L615" s="145"/>
      <c r="M615" s="682"/>
      <c r="N615" s="116"/>
      <c r="O615" s="116"/>
    </row>
    <row r="616" spans="1:15" ht="12.75" customHeight="1" x14ac:dyDescent="0.25">
      <c r="A616" s="116"/>
      <c r="B616" s="520" t="s">
        <v>21</v>
      </c>
      <c r="C616" s="520"/>
      <c r="D616" s="520"/>
      <c r="E616" s="520">
        <v>1</v>
      </c>
      <c r="F616" s="520" t="s">
        <v>23</v>
      </c>
      <c r="G616" s="520"/>
      <c r="H616" s="520"/>
      <c r="I616" s="520"/>
      <c r="J616" s="1"/>
      <c r="K616" s="146"/>
      <c r="L616" s="145"/>
      <c r="M616" s="682"/>
      <c r="N616" s="116"/>
      <c r="O616" s="116"/>
    </row>
    <row r="617" spans="1:15" ht="12.75" customHeight="1" x14ac:dyDescent="0.25">
      <c r="A617" s="116"/>
      <c r="B617" s="522" t="s">
        <v>296</v>
      </c>
      <c r="C617" s="522"/>
      <c r="D617" s="522"/>
      <c r="E617" s="522">
        <v>7.5</v>
      </c>
      <c r="F617" s="522" t="s">
        <v>7</v>
      </c>
      <c r="G617" s="522"/>
      <c r="H617" s="522"/>
      <c r="I617" s="520"/>
      <c r="J617" s="1"/>
      <c r="K617" s="146"/>
      <c r="L617" s="145"/>
      <c r="M617" s="682"/>
      <c r="N617" s="116"/>
      <c r="O617" s="116"/>
    </row>
    <row r="618" spans="1:15" ht="12.75" customHeight="1" x14ac:dyDescent="0.25">
      <c r="A618" s="116"/>
      <c r="B618" s="520" t="s">
        <v>22</v>
      </c>
      <c r="C618" s="520"/>
      <c r="D618" s="520"/>
      <c r="E618" s="520"/>
      <c r="F618" s="520"/>
      <c r="G618" s="520">
        <f>E616*E617</f>
        <v>7.5</v>
      </c>
      <c r="H618" s="520" t="s">
        <v>24</v>
      </c>
      <c r="I618" s="520"/>
      <c r="J618" s="1"/>
      <c r="K618" s="146"/>
      <c r="L618" s="145"/>
      <c r="M618" s="682"/>
      <c r="N618" s="116"/>
      <c r="O618" s="116"/>
    </row>
    <row r="619" spans="1:15" ht="12.75" customHeight="1" x14ac:dyDescent="0.25">
      <c r="A619" s="116"/>
      <c r="B619" s="520"/>
      <c r="C619" s="520"/>
      <c r="D619" s="520"/>
      <c r="E619" s="520"/>
      <c r="F619" s="520"/>
      <c r="G619" s="520"/>
      <c r="H619" s="520"/>
      <c r="I619" s="520"/>
      <c r="J619" s="1"/>
      <c r="K619" s="146"/>
      <c r="L619" s="145"/>
      <c r="M619" s="682"/>
      <c r="N619" s="116"/>
      <c r="O619" s="116"/>
    </row>
    <row r="620" spans="1:15" ht="12.75" customHeight="1" x14ac:dyDescent="0.25">
      <c r="A620" s="116"/>
      <c r="B620" s="520" t="s">
        <v>692</v>
      </c>
      <c r="C620" s="520"/>
      <c r="D620" s="520"/>
      <c r="E620" s="520"/>
      <c r="F620" s="520"/>
      <c r="G620" s="520"/>
      <c r="H620" s="520"/>
      <c r="I620" s="1"/>
      <c r="J620" s="1"/>
      <c r="K620" s="146"/>
      <c r="L620" s="145"/>
      <c r="M620" s="682"/>
      <c r="N620" s="116"/>
      <c r="O620" s="116"/>
    </row>
    <row r="621" spans="1:15" ht="12.75" customHeight="1" x14ac:dyDescent="0.25">
      <c r="A621" s="116"/>
      <c r="B621" s="520" t="s">
        <v>21</v>
      </c>
      <c r="C621" s="520"/>
      <c r="D621" s="520"/>
      <c r="E621" s="520">
        <v>3.5</v>
      </c>
      <c r="F621" s="520" t="s">
        <v>23</v>
      </c>
      <c r="G621" s="520"/>
      <c r="H621" s="520"/>
      <c r="I621" s="1"/>
      <c r="J621" s="1"/>
      <c r="K621" s="146"/>
      <c r="L621" s="145"/>
      <c r="M621" s="682"/>
      <c r="N621" s="116"/>
      <c r="O621" s="116"/>
    </row>
    <row r="622" spans="1:15" ht="12.75" customHeight="1" x14ac:dyDescent="0.25">
      <c r="A622" s="116"/>
      <c r="B622" s="522" t="s">
        <v>296</v>
      </c>
      <c r="C622" s="522"/>
      <c r="D622" s="522"/>
      <c r="E622" s="522">
        <v>36</v>
      </c>
      <c r="F622" s="522" t="s">
        <v>7</v>
      </c>
      <c r="G622" s="522"/>
      <c r="H622" s="522"/>
      <c r="I622" s="1"/>
      <c r="J622" s="1"/>
      <c r="K622" s="146"/>
      <c r="L622" s="145"/>
      <c r="M622" s="682"/>
      <c r="N622" s="116"/>
      <c r="O622" s="116"/>
    </row>
    <row r="623" spans="1:15" ht="12.75" customHeight="1" x14ac:dyDescent="0.25">
      <c r="A623" s="116"/>
      <c r="B623" s="520" t="s">
        <v>22</v>
      </c>
      <c r="C623" s="520"/>
      <c r="D623" s="520"/>
      <c r="E623" s="520"/>
      <c r="F623" s="520"/>
      <c r="G623" s="520">
        <f>E621*E622</f>
        <v>126</v>
      </c>
      <c r="H623" s="520" t="s">
        <v>24</v>
      </c>
      <c r="I623" s="3"/>
      <c r="J623" s="1"/>
      <c r="K623" s="146"/>
      <c r="L623" s="145"/>
      <c r="M623" s="682"/>
      <c r="N623" s="116"/>
      <c r="O623" s="116"/>
    </row>
    <row r="624" spans="1:15" ht="12.75" customHeight="1" thickBot="1" x14ac:dyDescent="0.3">
      <c r="A624" s="116"/>
      <c r="B624" s="520"/>
      <c r="C624" s="520"/>
      <c r="D624" s="520"/>
      <c r="E624" s="520"/>
      <c r="F624" s="520"/>
      <c r="G624" s="520"/>
      <c r="H624" s="520"/>
      <c r="I624" s="3"/>
      <c r="J624" s="1"/>
      <c r="K624" s="146"/>
      <c r="L624" s="145"/>
      <c r="M624" s="682"/>
      <c r="N624" s="116"/>
      <c r="O624" s="116"/>
    </row>
    <row r="625" spans="1:15" ht="12.75" customHeight="1" thickBot="1" x14ac:dyDescent="0.3">
      <c r="A625" s="116"/>
      <c r="B625" s="525" t="s">
        <v>693</v>
      </c>
      <c r="C625" s="526"/>
      <c r="D625" s="527"/>
      <c r="E625" s="528"/>
      <c r="F625" s="527"/>
      <c r="G625" s="527">
        <f>SUM(G577:G624)</f>
        <v>999.78500000000008</v>
      </c>
      <c r="H625" s="529" t="s">
        <v>24</v>
      </c>
      <c r="I625" s="3"/>
      <c r="J625" s="1"/>
      <c r="K625" s="146"/>
      <c r="L625" s="145"/>
      <c r="M625" s="682"/>
      <c r="N625" s="116"/>
      <c r="O625" s="116"/>
    </row>
    <row r="626" spans="1:15" ht="12.75" customHeight="1" x14ac:dyDescent="0.25">
      <c r="A626" s="116"/>
      <c r="B626" s="181"/>
      <c r="C626" s="130"/>
      <c r="D626" s="149"/>
      <c r="E626" s="150"/>
      <c r="F626" s="149"/>
      <c r="G626" s="149"/>
      <c r="H626" s="150"/>
      <c r="I626" s="3"/>
      <c r="J626" s="1"/>
      <c r="K626" s="146"/>
      <c r="L626" s="145"/>
      <c r="M626" s="682"/>
      <c r="N626" s="116"/>
      <c r="O626" s="116"/>
    </row>
    <row r="627" spans="1:15" ht="12.75" customHeight="1" x14ac:dyDescent="0.25">
      <c r="A627" s="174"/>
      <c r="B627" s="530" t="s">
        <v>710</v>
      </c>
      <c r="C627" s="531"/>
      <c r="D627" s="532"/>
      <c r="E627" s="531"/>
      <c r="F627" s="531"/>
      <c r="G627" s="55"/>
      <c r="H627" s="5"/>
      <c r="I627" s="11"/>
      <c r="J627" s="5"/>
      <c r="K627" s="146"/>
      <c r="L627" s="145"/>
      <c r="M627" s="682"/>
      <c r="N627" s="116"/>
      <c r="O627" s="116"/>
    </row>
    <row r="628" spans="1:15" ht="12.75" customHeight="1" x14ac:dyDescent="0.25">
      <c r="A628" s="174"/>
      <c r="B628" s="486"/>
      <c r="C628" s="531" t="s">
        <v>711</v>
      </c>
      <c r="D628" s="532"/>
      <c r="E628" s="531"/>
      <c r="F628" s="531"/>
      <c r="G628" s="55"/>
      <c r="H628" s="5"/>
      <c r="I628" s="11"/>
      <c r="J628" s="5"/>
      <c r="K628" s="146"/>
      <c r="L628" s="145"/>
      <c r="M628" s="682"/>
      <c r="N628" s="116"/>
      <c r="O628" s="116"/>
    </row>
    <row r="629" spans="1:15" ht="12.75" customHeight="1" thickBot="1" x14ac:dyDescent="0.3">
      <c r="A629" s="116"/>
      <c r="B629" s="390" t="s">
        <v>405</v>
      </c>
      <c r="C629" s="11"/>
      <c r="D629" s="11"/>
      <c r="E629" s="65"/>
      <c r="F629" s="51"/>
      <c r="G629" s="51"/>
      <c r="H629" s="55"/>
      <c r="I629" s="11"/>
      <c r="J629" s="5"/>
      <c r="K629" s="146"/>
      <c r="L629" s="145"/>
      <c r="M629" s="682"/>
      <c r="N629" s="116"/>
      <c r="O629" s="116"/>
    </row>
    <row r="630" spans="1:15" ht="12.75" customHeight="1" thickBot="1" x14ac:dyDescent="0.3">
      <c r="A630" s="116"/>
      <c r="B630" s="684" t="s">
        <v>12</v>
      </c>
      <c r="C630" s="685"/>
      <c r="D630" s="688" t="s">
        <v>11</v>
      </c>
      <c r="E630" s="690"/>
      <c r="F630" s="690"/>
      <c r="G630" s="690"/>
      <c r="H630" s="690"/>
      <c r="I630" s="690"/>
      <c r="J630" s="690"/>
      <c r="K630" s="146"/>
      <c r="L630" s="145"/>
      <c r="M630" s="682"/>
      <c r="N630" s="116"/>
      <c r="O630" s="116"/>
    </row>
    <row r="631" spans="1:15" ht="12.75" customHeight="1" thickBot="1" x14ac:dyDescent="0.3">
      <c r="A631" s="116"/>
      <c r="B631" s="686"/>
      <c r="C631" s="687"/>
      <c r="D631" s="688"/>
      <c r="E631" s="738" t="s">
        <v>694</v>
      </c>
      <c r="F631" s="725"/>
      <c r="G631" s="726"/>
      <c r="H631" s="738" t="s">
        <v>695</v>
      </c>
      <c r="I631" s="725"/>
      <c r="J631" s="726"/>
      <c r="K631" s="146"/>
      <c r="L631" s="145"/>
      <c r="M631" s="682"/>
      <c r="N631" s="116"/>
      <c r="O631" s="116"/>
    </row>
    <row r="632" spans="1:15" ht="12.75" customHeight="1" thickBot="1" x14ac:dyDescent="0.3">
      <c r="A632" s="116"/>
      <c r="B632" s="238" t="s">
        <v>9</v>
      </c>
      <c r="C632" s="239" t="s">
        <v>10</v>
      </c>
      <c r="D632" s="689"/>
      <c r="E632" s="240" t="s">
        <v>13</v>
      </c>
      <c r="F632" s="241" t="s">
        <v>14</v>
      </c>
      <c r="G632" s="240" t="s">
        <v>15</v>
      </c>
      <c r="H632" s="240" t="s">
        <v>13</v>
      </c>
      <c r="I632" s="241" t="s">
        <v>14</v>
      </c>
      <c r="J632" s="240" t="s">
        <v>15</v>
      </c>
      <c r="K632" s="146"/>
      <c r="L632" s="145"/>
      <c r="M632" s="682"/>
      <c r="N632" s="116"/>
      <c r="O632" s="116"/>
    </row>
    <row r="633" spans="1:15" ht="12.75" customHeight="1" thickBot="1" x14ac:dyDescent="0.3">
      <c r="A633" s="116"/>
      <c r="B633" s="242"/>
      <c r="C633" s="243" t="s">
        <v>8</v>
      </c>
      <c r="D633" s="238" t="s">
        <v>7</v>
      </c>
      <c r="E633" s="244" t="s">
        <v>565</v>
      </c>
      <c r="F633" s="245" t="s">
        <v>565</v>
      </c>
      <c r="G633" s="244" t="s">
        <v>566</v>
      </c>
      <c r="H633" s="244" t="s">
        <v>7</v>
      </c>
      <c r="I633" s="245" t="s">
        <v>7</v>
      </c>
      <c r="J633" s="244" t="s">
        <v>565</v>
      </c>
      <c r="K633" s="146"/>
      <c r="L633" s="145"/>
      <c r="M633" s="682"/>
      <c r="N633" s="116"/>
      <c r="O633" s="116"/>
    </row>
    <row r="634" spans="1:15" ht="12.75" customHeight="1" thickBot="1" x14ac:dyDescent="0.3">
      <c r="A634" s="116"/>
      <c r="B634" s="248" t="s">
        <v>34</v>
      </c>
      <c r="C634" s="249"/>
      <c r="D634" s="250"/>
      <c r="E634" s="251"/>
      <c r="F634" s="144"/>
      <c r="G634" s="143"/>
      <c r="H634" s="143"/>
      <c r="I634" s="144"/>
      <c r="J634" s="143"/>
      <c r="K634" s="146"/>
      <c r="L634" s="145"/>
      <c r="M634" s="682"/>
      <c r="N634" s="116"/>
      <c r="O634" s="116"/>
    </row>
    <row r="635" spans="1:15" ht="12.75" customHeight="1" x14ac:dyDescent="0.25">
      <c r="A635" s="116"/>
      <c r="B635" s="718" t="s">
        <v>35</v>
      </c>
      <c r="C635" s="719">
        <v>0</v>
      </c>
      <c r="D635" s="708">
        <f>(C637-C635)*1000</f>
        <v>7.29</v>
      </c>
      <c r="E635" s="708">
        <v>0</v>
      </c>
      <c r="F635" s="708">
        <f>(E635+E637)/2</f>
        <v>0.5</v>
      </c>
      <c r="G635" s="708">
        <f>F635*D635</f>
        <v>3.645</v>
      </c>
      <c r="H635" s="734">
        <v>0</v>
      </c>
      <c r="I635" s="708">
        <f>(H635+H637)/2</f>
        <v>0.55000000000000004</v>
      </c>
      <c r="J635" s="709">
        <f>I635*D635</f>
        <v>4.0095000000000001</v>
      </c>
      <c r="K635" s="146"/>
      <c r="L635" s="145"/>
      <c r="M635" s="682"/>
      <c r="N635" s="116"/>
      <c r="O635" s="116"/>
    </row>
    <row r="636" spans="1:15" ht="12.75" customHeight="1" x14ac:dyDescent="0.25">
      <c r="A636" s="116"/>
      <c r="B636" s="691"/>
      <c r="C636" s="720"/>
      <c r="D636" s="683"/>
      <c r="E636" s="683"/>
      <c r="F636" s="683"/>
      <c r="G636" s="683"/>
      <c r="H636" s="732"/>
      <c r="I636" s="683"/>
      <c r="J636" s="710"/>
      <c r="K636" s="146"/>
      <c r="L636" s="145"/>
      <c r="M636" s="682"/>
      <c r="N636" s="116"/>
      <c r="O636" s="116"/>
    </row>
    <row r="637" spans="1:15" ht="12.75" customHeight="1" x14ac:dyDescent="0.25">
      <c r="A637" s="116"/>
      <c r="B637" s="691" t="s">
        <v>36</v>
      </c>
      <c r="C637" s="720">
        <v>7.2899999999999996E-3</v>
      </c>
      <c r="D637" s="683"/>
      <c r="E637" s="683">
        <v>1</v>
      </c>
      <c r="F637" s="683"/>
      <c r="G637" s="683"/>
      <c r="H637" s="697">
        <v>1.1000000000000001</v>
      </c>
      <c r="I637" s="683"/>
      <c r="J637" s="710"/>
      <c r="K637" s="146"/>
      <c r="L637" s="145"/>
      <c r="M637" s="682"/>
      <c r="N637" s="116"/>
      <c r="O637" s="116"/>
    </row>
    <row r="638" spans="1:15" ht="12.75" customHeight="1" x14ac:dyDescent="0.25">
      <c r="A638" s="182"/>
      <c r="B638" s="691"/>
      <c r="C638" s="720"/>
      <c r="D638" s="683">
        <f>(C639-C637)*1000</f>
        <v>11.88</v>
      </c>
      <c r="E638" s="683"/>
      <c r="F638" s="683">
        <f>(E637+E639)/2</f>
        <v>2.85</v>
      </c>
      <c r="G638" s="683">
        <f>F638*D638</f>
        <v>33.858000000000004</v>
      </c>
      <c r="H638" s="704"/>
      <c r="I638" s="683">
        <f>(H637+H639)/2</f>
        <v>3.75</v>
      </c>
      <c r="J638" s="710">
        <f>I638*D638</f>
        <v>44.550000000000004</v>
      </c>
      <c r="K638" s="146"/>
      <c r="L638" s="145"/>
      <c r="M638" s="682"/>
      <c r="N638" s="116"/>
      <c r="O638" s="116"/>
    </row>
    <row r="639" spans="1:15" ht="12.75" customHeight="1" x14ac:dyDescent="0.25">
      <c r="A639" s="116"/>
      <c r="B639" s="691" t="s">
        <v>37</v>
      </c>
      <c r="C639" s="720">
        <v>1.917E-2</v>
      </c>
      <c r="D639" s="683"/>
      <c r="E639" s="683">
        <v>4.7</v>
      </c>
      <c r="F639" s="683"/>
      <c r="G639" s="683"/>
      <c r="H639" s="697">
        <v>6.4</v>
      </c>
      <c r="I639" s="683"/>
      <c r="J639" s="710"/>
      <c r="K639" s="146"/>
      <c r="L639" s="145"/>
      <c r="M639" s="682"/>
      <c r="N639" s="116"/>
      <c r="O639" s="116"/>
    </row>
    <row r="640" spans="1:15" ht="12.75" customHeight="1" x14ac:dyDescent="0.25">
      <c r="A640" s="116"/>
      <c r="B640" s="691"/>
      <c r="C640" s="720"/>
      <c r="D640" s="683">
        <f>(C641-C639)*1000</f>
        <v>11</v>
      </c>
      <c r="E640" s="683"/>
      <c r="F640" s="683">
        <f>(E639+E641)/2</f>
        <v>4.7</v>
      </c>
      <c r="G640" s="683">
        <f>F640*D640</f>
        <v>51.7</v>
      </c>
      <c r="H640" s="704"/>
      <c r="I640" s="683">
        <f>(H639+H641)/2</f>
        <v>6.35</v>
      </c>
      <c r="J640" s="710">
        <f>I640*D640</f>
        <v>69.849999999999994</v>
      </c>
      <c r="K640" s="146"/>
      <c r="L640" s="145"/>
      <c r="M640" s="682"/>
      <c r="N640" s="116"/>
      <c r="O640" s="116"/>
    </row>
    <row r="641" spans="1:15" ht="12.75" customHeight="1" x14ac:dyDescent="0.25">
      <c r="A641" s="116"/>
      <c r="B641" s="691" t="s">
        <v>38</v>
      </c>
      <c r="C641" s="720">
        <v>3.0169999999999999E-2</v>
      </c>
      <c r="D641" s="683"/>
      <c r="E641" s="683">
        <v>4.7</v>
      </c>
      <c r="F641" s="683"/>
      <c r="G641" s="683"/>
      <c r="H641" s="732">
        <v>6.3</v>
      </c>
      <c r="I641" s="683"/>
      <c r="J641" s="710"/>
      <c r="K641" s="146"/>
      <c r="L641" s="145"/>
      <c r="M641" s="682"/>
      <c r="N641" s="116"/>
      <c r="O641" s="116"/>
    </row>
    <row r="642" spans="1:15" ht="12.75" customHeight="1" x14ac:dyDescent="0.25">
      <c r="A642" s="116"/>
      <c r="B642" s="691"/>
      <c r="C642" s="720"/>
      <c r="D642" s="683">
        <f>(C643-C641)*1000</f>
        <v>15.930000000000003</v>
      </c>
      <c r="E642" s="683"/>
      <c r="F642" s="683">
        <f>(E641+E643)/2</f>
        <v>4.6500000000000004</v>
      </c>
      <c r="G642" s="683">
        <f>F642*D642</f>
        <v>74.074500000000015</v>
      </c>
      <c r="H642" s="732"/>
      <c r="I642" s="683">
        <f>(H641+H643)/2</f>
        <v>6.4499999999999993</v>
      </c>
      <c r="J642" s="710">
        <f>I642*D642</f>
        <v>102.74850000000001</v>
      </c>
      <c r="K642" s="146"/>
      <c r="L642" s="145"/>
      <c r="M642" s="682"/>
      <c r="N642" s="116"/>
      <c r="O642" s="116"/>
    </row>
    <row r="643" spans="1:15" ht="12.75" customHeight="1" x14ac:dyDescent="0.25">
      <c r="A643" s="116"/>
      <c r="B643" s="691" t="s">
        <v>39</v>
      </c>
      <c r="C643" s="692">
        <v>4.6100000000000002E-2</v>
      </c>
      <c r="D643" s="683"/>
      <c r="E643" s="683">
        <v>4.5999999999999996</v>
      </c>
      <c r="F643" s="683"/>
      <c r="G643" s="683"/>
      <c r="H643" s="732">
        <v>6.6</v>
      </c>
      <c r="I643" s="683"/>
      <c r="J643" s="710"/>
      <c r="K643" s="146"/>
      <c r="L643" s="145"/>
      <c r="M643" s="682"/>
      <c r="N643" s="116"/>
      <c r="O643" s="116"/>
    </row>
    <row r="644" spans="1:15" ht="12.75" customHeight="1" x14ac:dyDescent="0.25">
      <c r="A644" s="116"/>
      <c r="B644" s="691"/>
      <c r="C644" s="692"/>
      <c r="D644" s="683">
        <f>(C645-C643)*1000</f>
        <v>2.9</v>
      </c>
      <c r="E644" s="683"/>
      <c r="F644" s="683">
        <f>(E643+E645)/2</f>
        <v>4.9000000000000004</v>
      </c>
      <c r="G644" s="683">
        <f>F644*D644</f>
        <v>14.21</v>
      </c>
      <c r="H644" s="732"/>
      <c r="I644" s="683">
        <f>(H643+H645)/2</f>
        <v>6.9</v>
      </c>
      <c r="J644" s="710">
        <f>I644*D644</f>
        <v>20.010000000000002</v>
      </c>
      <c r="K644" s="146"/>
      <c r="L644" s="145"/>
      <c r="M644" s="682"/>
      <c r="N644" s="116"/>
      <c r="O644" s="116"/>
    </row>
    <row r="645" spans="1:15" ht="12.75" customHeight="1" x14ac:dyDescent="0.25">
      <c r="A645" s="116"/>
      <c r="B645" s="691" t="s">
        <v>41</v>
      </c>
      <c r="C645" s="692">
        <v>4.9000000000000002E-2</v>
      </c>
      <c r="D645" s="683"/>
      <c r="E645" s="683">
        <v>5.2</v>
      </c>
      <c r="F645" s="683"/>
      <c r="G645" s="683"/>
      <c r="H645" s="732">
        <v>7.2</v>
      </c>
      <c r="I645" s="683"/>
      <c r="J645" s="710"/>
      <c r="K645" s="146"/>
      <c r="L645" s="145"/>
      <c r="M645" s="682"/>
      <c r="N645" s="116"/>
      <c r="O645" s="116"/>
    </row>
    <row r="646" spans="1:15" ht="12.75" customHeight="1" x14ac:dyDescent="0.25">
      <c r="A646" s="116"/>
      <c r="B646" s="691"/>
      <c r="C646" s="692"/>
      <c r="D646" s="683">
        <f>(C647-C645)*1000</f>
        <v>5.9999999999999982</v>
      </c>
      <c r="E646" s="683"/>
      <c r="F646" s="683">
        <f>(E645+E647)/2</f>
        <v>5.2</v>
      </c>
      <c r="G646" s="683">
        <f>F646*D646</f>
        <v>31.199999999999992</v>
      </c>
      <c r="H646" s="732"/>
      <c r="I646" s="683">
        <f>(H645+H647)/2</f>
        <v>7.2</v>
      </c>
      <c r="J646" s="710">
        <f>I646*D646</f>
        <v>43.199999999999989</v>
      </c>
      <c r="K646" s="146"/>
      <c r="L646" s="145"/>
      <c r="M646" s="682"/>
      <c r="N646" s="116"/>
      <c r="O646" s="116"/>
    </row>
    <row r="647" spans="1:15" ht="12.75" customHeight="1" x14ac:dyDescent="0.25">
      <c r="A647" s="116"/>
      <c r="B647" s="691" t="s">
        <v>41</v>
      </c>
      <c r="C647" s="692">
        <v>5.5E-2</v>
      </c>
      <c r="D647" s="683"/>
      <c r="E647" s="683">
        <v>5.2</v>
      </c>
      <c r="F647" s="683"/>
      <c r="G647" s="683"/>
      <c r="H647" s="732">
        <v>7.2</v>
      </c>
      <c r="I647" s="683"/>
      <c r="J647" s="710"/>
      <c r="K647" s="146"/>
      <c r="L647" s="145"/>
      <c r="M647" s="682"/>
      <c r="N647" s="116"/>
      <c r="O647" s="116"/>
    </row>
    <row r="648" spans="1:15" ht="12.75" customHeight="1" x14ac:dyDescent="0.25">
      <c r="A648" s="116"/>
      <c r="B648" s="691"/>
      <c r="C648" s="692"/>
      <c r="D648" s="683">
        <f>(C649-C647)*1000</f>
        <v>7.23</v>
      </c>
      <c r="E648" s="683"/>
      <c r="F648" s="683">
        <f>(E647+E649)/2</f>
        <v>4.8499999999999996</v>
      </c>
      <c r="G648" s="683">
        <f>F648*D648</f>
        <v>35.0655</v>
      </c>
      <c r="H648" s="732"/>
      <c r="I648" s="683">
        <f>(H647+H649)/2</f>
        <v>6.95</v>
      </c>
      <c r="J648" s="710">
        <f>I648*D648</f>
        <v>50.248500000000007</v>
      </c>
      <c r="K648" s="146"/>
      <c r="L648" s="145"/>
      <c r="M648" s="682"/>
      <c r="N648" s="116"/>
      <c r="O648" s="116"/>
    </row>
    <row r="649" spans="1:15" ht="12.75" customHeight="1" x14ac:dyDescent="0.25">
      <c r="A649" s="116"/>
      <c r="B649" s="691" t="s">
        <v>42</v>
      </c>
      <c r="C649" s="692">
        <v>6.2230000000000001E-2</v>
      </c>
      <c r="D649" s="683"/>
      <c r="E649" s="683">
        <v>4.5</v>
      </c>
      <c r="F649" s="683"/>
      <c r="G649" s="683"/>
      <c r="H649" s="697">
        <v>6.7</v>
      </c>
      <c r="I649" s="683"/>
      <c r="J649" s="710"/>
      <c r="K649" s="146"/>
      <c r="L649" s="145"/>
      <c r="M649" s="682"/>
      <c r="N649" s="116"/>
      <c r="O649" s="116"/>
    </row>
    <row r="650" spans="1:15" ht="12.75" customHeight="1" x14ac:dyDescent="0.25">
      <c r="A650" s="183"/>
      <c r="B650" s="691"/>
      <c r="C650" s="692"/>
      <c r="D650" s="683">
        <f>(C651-C649)*1000</f>
        <v>23.839999999999993</v>
      </c>
      <c r="E650" s="683"/>
      <c r="F650" s="683">
        <f>(E649+E651)/2</f>
        <v>4.5</v>
      </c>
      <c r="G650" s="683">
        <f>F650*D650</f>
        <v>107.27999999999997</v>
      </c>
      <c r="H650" s="704"/>
      <c r="I650" s="683">
        <f>(H649+H651)/2</f>
        <v>6.7</v>
      </c>
      <c r="J650" s="693">
        <f>I650*D650</f>
        <v>159.72799999999995</v>
      </c>
      <c r="K650" s="146"/>
      <c r="L650" s="145"/>
      <c r="M650" s="682"/>
      <c r="N650" s="116"/>
      <c r="O650" s="116"/>
    </row>
    <row r="651" spans="1:15" ht="12.75" customHeight="1" x14ac:dyDescent="0.25">
      <c r="A651" s="116"/>
      <c r="B651" s="691" t="s">
        <v>43</v>
      </c>
      <c r="C651" s="692">
        <v>8.6069999999999994E-2</v>
      </c>
      <c r="D651" s="683"/>
      <c r="E651" s="683">
        <v>4.5</v>
      </c>
      <c r="F651" s="683"/>
      <c r="G651" s="683"/>
      <c r="H651" s="732">
        <v>6.7</v>
      </c>
      <c r="I651" s="683"/>
      <c r="J651" s="694"/>
      <c r="K651" s="146"/>
      <c r="L651" s="145"/>
      <c r="M651" s="682"/>
      <c r="N651" s="116"/>
      <c r="O651" s="116"/>
    </row>
    <row r="652" spans="1:15" ht="12.75" customHeight="1" thickBot="1" x14ac:dyDescent="0.3">
      <c r="A652" s="116"/>
      <c r="B652" s="695"/>
      <c r="C652" s="744"/>
      <c r="D652" s="534"/>
      <c r="E652" s="745"/>
      <c r="F652" s="282"/>
      <c r="G652" s="282"/>
      <c r="H652" s="733"/>
      <c r="I652" s="282"/>
      <c r="J652" s="535"/>
      <c r="K652" s="146"/>
      <c r="L652" s="145"/>
      <c r="M652" s="682"/>
      <c r="N652" s="116"/>
      <c r="O652" s="116"/>
    </row>
    <row r="653" spans="1:15" ht="12.75" customHeight="1" thickBot="1" x14ac:dyDescent="0.3">
      <c r="A653" s="116"/>
      <c r="B653" s="263" t="s">
        <v>574</v>
      </c>
      <c r="C653" s="264"/>
      <c r="D653" s="6"/>
      <c r="E653" s="7"/>
      <c r="F653" s="6"/>
      <c r="G653" s="6">
        <f>SUM(G634:G652)</f>
        <v>351.03300000000002</v>
      </c>
      <c r="H653" s="147"/>
      <c r="I653" s="6"/>
      <c r="J653" s="8">
        <f>SUM(J635:J652)</f>
        <v>494.34449999999993</v>
      </c>
      <c r="K653" s="146"/>
      <c r="L653" s="145"/>
      <c r="M653" s="682"/>
      <c r="N653" s="116"/>
      <c r="O653" s="116"/>
    </row>
    <row r="654" spans="1:15" ht="12.75" customHeight="1" x14ac:dyDescent="0.25">
      <c r="A654" s="116"/>
      <c r="B654" s="441" t="s">
        <v>44</v>
      </c>
      <c r="C654" s="253"/>
      <c r="D654" s="51"/>
      <c r="E654" s="55"/>
      <c r="F654" s="51"/>
      <c r="G654" s="51"/>
      <c r="H654" s="150"/>
      <c r="I654" s="51"/>
      <c r="J654" s="51"/>
      <c r="K654" s="146"/>
      <c r="L654" s="145"/>
      <c r="M654" s="682"/>
      <c r="N654" s="116"/>
      <c r="O654" s="116"/>
    </row>
    <row r="655" spans="1:15" ht="12.75" customHeight="1" x14ac:dyDescent="0.25">
      <c r="A655" s="116"/>
      <c r="B655" s="278" t="s">
        <v>696</v>
      </c>
      <c r="C655" s="14"/>
      <c r="D655" s="51"/>
      <c r="E655" s="55"/>
      <c r="F655" s="51"/>
      <c r="G655" s="51"/>
      <c r="H655" s="55"/>
      <c r="I655" s="51"/>
      <c r="J655" s="51"/>
      <c r="K655" s="285"/>
      <c r="L655" s="145"/>
      <c r="M655" s="682"/>
      <c r="N655" s="116"/>
      <c r="O655" s="116"/>
    </row>
    <row r="656" spans="1:15" ht="12.75" customHeight="1" x14ac:dyDescent="0.25">
      <c r="A656" s="116"/>
      <c r="B656" s="56" t="s">
        <v>757</v>
      </c>
      <c r="C656" s="14"/>
      <c r="D656" s="51"/>
      <c r="E656" s="55"/>
      <c r="F656" s="51"/>
      <c r="G656" s="51"/>
      <c r="H656" s="55"/>
      <c r="I656" s="5"/>
      <c r="J656" s="51"/>
      <c r="K656" s="5"/>
      <c r="L656" s="145"/>
      <c r="M656" s="682"/>
      <c r="N656" s="116"/>
      <c r="O656" s="116"/>
    </row>
    <row r="657" spans="1:15" ht="12.75" customHeight="1" x14ac:dyDescent="0.25">
      <c r="A657" s="116"/>
      <c r="B657" s="56" t="s">
        <v>21</v>
      </c>
      <c r="C657" s="11"/>
      <c r="D657" s="11"/>
      <c r="E657" s="341">
        <v>11.2</v>
      </c>
      <c r="F657" s="488" t="s">
        <v>23</v>
      </c>
      <c r="G657" s="51"/>
      <c r="H657" s="55"/>
      <c r="I657" s="5"/>
      <c r="J657" s="51"/>
      <c r="K657" s="5"/>
      <c r="L657" s="145"/>
      <c r="M657" s="682"/>
      <c r="N657" s="116"/>
      <c r="O657" s="116"/>
    </row>
    <row r="658" spans="1:15" ht="12.75" customHeight="1" x14ac:dyDescent="0.25">
      <c r="A658" s="116"/>
      <c r="B658" s="399" t="s">
        <v>296</v>
      </c>
      <c r="C658" s="120"/>
      <c r="D658" s="120"/>
      <c r="E658" s="533">
        <v>5</v>
      </c>
      <c r="F658" s="489" t="s">
        <v>7</v>
      </c>
      <c r="G658" s="52"/>
      <c r="H658" s="55"/>
      <c r="I658" s="5"/>
      <c r="J658" s="51"/>
      <c r="K658" s="5"/>
      <c r="L658" s="145"/>
      <c r="M658" s="682"/>
      <c r="N658" s="116"/>
      <c r="O658" s="116"/>
    </row>
    <row r="659" spans="1:15" ht="12.75" customHeight="1" x14ac:dyDescent="0.25">
      <c r="A659" s="116"/>
      <c r="B659" s="390" t="s">
        <v>22</v>
      </c>
      <c r="C659" s="65"/>
      <c r="D659" s="51"/>
      <c r="E659" s="5"/>
      <c r="F659" s="5"/>
      <c r="G659" s="55">
        <f>E657*E658</f>
        <v>56</v>
      </c>
      <c r="H659" s="51" t="s">
        <v>24</v>
      </c>
      <c r="I659" s="5"/>
      <c r="J659" s="51"/>
      <c r="K659" s="5"/>
      <c r="L659" s="145"/>
      <c r="M659" s="682"/>
      <c r="N659" s="116"/>
      <c r="O659" s="116"/>
    </row>
    <row r="660" spans="1:15" ht="12.75" customHeight="1" x14ac:dyDescent="0.25">
      <c r="A660" s="116"/>
      <c r="B660" s="390"/>
      <c r="C660" s="65"/>
      <c r="D660" s="51"/>
      <c r="E660" s="5"/>
      <c r="F660" s="5"/>
      <c r="G660" s="55"/>
      <c r="H660" s="51"/>
      <c r="I660" s="5"/>
      <c r="J660" s="51"/>
      <c r="K660" s="5"/>
      <c r="L660" s="145"/>
      <c r="M660" s="682"/>
      <c r="N660" s="116"/>
      <c r="O660" s="116"/>
    </row>
    <row r="661" spans="1:15" ht="12.75" customHeight="1" x14ac:dyDescent="0.25">
      <c r="A661" s="116"/>
      <c r="B661" s="390" t="s">
        <v>31</v>
      </c>
      <c r="C661" s="65"/>
      <c r="D661" s="51"/>
      <c r="E661" s="5"/>
      <c r="F661" s="5"/>
      <c r="G661" s="55"/>
      <c r="H661" s="51"/>
      <c r="I661" s="5"/>
      <c r="J661" s="51">
        <v>35</v>
      </c>
      <c r="K661" s="5" t="s">
        <v>23</v>
      </c>
      <c r="L661" s="145"/>
      <c r="M661" s="682"/>
      <c r="N661" s="116"/>
      <c r="O661" s="116"/>
    </row>
    <row r="662" spans="1:15" ht="12.75" customHeight="1" x14ac:dyDescent="0.25">
      <c r="A662" s="116"/>
      <c r="B662" s="390"/>
      <c r="C662" s="65"/>
      <c r="D662" s="51"/>
      <c r="E662" s="5"/>
      <c r="F662" s="5"/>
      <c r="G662" s="55"/>
      <c r="H662" s="51"/>
      <c r="I662" s="5"/>
      <c r="J662" s="51"/>
      <c r="K662" s="5"/>
      <c r="L662" s="145"/>
      <c r="M662" s="682"/>
      <c r="N662" s="116"/>
      <c r="O662" s="116"/>
    </row>
    <row r="663" spans="1:15" ht="12.75" customHeight="1" x14ac:dyDescent="0.25">
      <c r="A663" s="116"/>
      <c r="B663" s="56" t="s">
        <v>297</v>
      </c>
      <c r="C663" s="14"/>
      <c r="D663" s="51"/>
      <c r="E663" s="55"/>
      <c r="F663" s="51"/>
      <c r="G663" s="51"/>
      <c r="H663" s="55"/>
      <c r="I663" s="5"/>
      <c r="J663" s="51"/>
      <c r="K663" s="5"/>
      <c r="L663" s="145"/>
      <c r="M663" s="682"/>
      <c r="N663" s="116"/>
      <c r="O663" s="116"/>
    </row>
    <row r="664" spans="1:15" ht="12.75" customHeight="1" x14ac:dyDescent="0.25">
      <c r="A664" s="116"/>
      <c r="B664" s="56" t="s">
        <v>293</v>
      </c>
      <c r="C664" s="5"/>
      <c r="D664" s="5"/>
      <c r="E664" s="14">
        <v>7.7</v>
      </c>
      <c r="F664" s="51" t="s">
        <v>23</v>
      </c>
      <c r="G664" s="51"/>
      <c r="H664" s="55"/>
      <c r="I664" s="5"/>
      <c r="J664" s="51"/>
      <c r="K664" s="5"/>
      <c r="L664" s="145"/>
      <c r="M664" s="682"/>
      <c r="N664" s="116"/>
      <c r="O664" s="116"/>
    </row>
    <row r="665" spans="1:15" ht="12.75" customHeight="1" x14ac:dyDescent="0.25">
      <c r="A665" s="116"/>
      <c r="B665" s="56" t="s">
        <v>294</v>
      </c>
      <c r="C665" s="5"/>
      <c r="D665" s="5"/>
      <c r="E665" s="14">
        <v>4</v>
      </c>
      <c r="F665" s="51" t="s">
        <v>23</v>
      </c>
      <c r="G665" s="51"/>
      <c r="H665" s="55"/>
      <c r="I665" s="5"/>
      <c r="J665" s="51"/>
      <c r="K665" s="5"/>
      <c r="L665" s="145"/>
      <c r="M665" s="682"/>
      <c r="N665" s="116"/>
      <c r="O665" s="116"/>
    </row>
    <row r="666" spans="1:15" ht="12.75" customHeight="1" x14ac:dyDescent="0.25">
      <c r="A666" s="116"/>
      <c r="B666" s="398" t="s">
        <v>26</v>
      </c>
      <c r="C666" s="120"/>
      <c r="D666" s="120"/>
      <c r="E666" s="17">
        <v>25</v>
      </c>
      <c r="F666" s="52" t="s">
        <v>23</v>
      </c>
      <c r="G666" s="52"/>
      <c r="H666" s="57"/>
      <c r="I666" s="5"/>
      <c r="J666" s="51"/>
      <c r="K666" s="5"/>
      <c r="L666" s="145"/>
      <c r="M666" s="682"/>
      <c r="N666" s="116"/>
      <c r="O666" s="116"/>
    </row>
    <row r="667" spans="1:15" ht="12.75" customHeight="1" x14ac:dyDescent="0.25">
      <c r="A667" s="116"/>
      <c r="B667" s="390" t="s">
        <v>22</v>
      </c>
      <c r="C667" s="11"/>
      <c r="D667" s="11"/>
      <c r="E667" s="14"/>
      <c r="F667" s="51"/>
      <c r="G667" s="51">
        <f>(E664+E665)/2*E666</f>
        <v>146.25</v>
      </c>
      <c r="H667" s="55"/>
      <c r="I667" s="5"/>
      <c r="J667" s="51"/>
      <c r="K667" s="5"/>
      <c r="L667" s="145"/>
      <c r="M667" s="682"/>
      <c r="N667" s="116"/>
      <c r="O667" s="116"/>
    </row>
    <row r="668" spans="1:15" ht="12.75" customHeight="1" x14ac:dyDescent="0.25">
      <c r="A668" s="116"/>
      <c r="B668" s="390"/>
      <c r="C668" s="11"/>
      <c r="D668" s="11"/>
      <c r="E668" s="14"/>
      <c r="F668" s="51"/>
      <c r="G668" s="51"/>
      <c r="H668" s="55"/>
      <c r="I668" s="5"/>
      <c r="J668" s="51"/>
      <c r="K668" s="5"/>
      <c r="L668" s="145"/>
      <c r="M668" s="682"/>
      <c r="N668" s="116"/>
      <c r="O668" s="116"/>
    </row>
    <row r="669" spans="1:15" ht="12.75" customHeight="1" thickBot="1" x14ac:dyDescent="0.3">
      <c r="A669" s="116"/>
      <c r="B669" s="278" t="s">
        <v>220</v>
      </c>
      <c r="C669" s="14"/>
      <c r="D669" s="51" t="s">
        <v>699</v>
      </c>
      <c r="E669" s="55"/>
      <c r="F669" s="51"/>
      <c r="G669" s="51"/>
      <c r="H669" s="55"/>
      <c r="I669" s="51"/>
      <c r="J669" s="51">
        <f>(6.7+2)/2 *25</f>
        <v>108.74999999999999</v>
      </c>
      <c r="K669" s="11"/>
      <c r="L669" s="145"/>
      <c r="M669" s="682"/>
      <c r="N669" s="116"/>
      <c r="O669" s="116"/>
    </row>
    <row r="670" spans="1:15" ht="12.75" customHeight="1" thickBot="1" x14ac:dyDescent="0.3">
      <c r="A670" s="116"/>
      <c r="B670" s="536" t="s">
        <v>698</v>
      </c>
      <c r="C670" s="537"/>
      <c r="D670" s="538"/>
      <c r="E670" s="539"/>
      <c r="F670" s="538"/>
      <c r="G670" s="538">
        <f>SUM(G653:G667)</f>
        <v>553.28300000000002</v>
      </c>
      <c r="H670" s="539" t="s">
        <v>24</v>
      </c>
      <c r="I670" s="538"/>
      <c r="J670" s="538">
        <f>SUM(J653:J669)</f>
        <v>638.09449999999993</v>
      </c>
      <c r="K670" s="540" t="s">
        <v>23</v>
      </c>
      <c r="L670" s="145"/>
      <c r="M670" s="682"/>
      <c r="N670" s="116"/>
      <c r="O670" s="116"/>
    </row>
    <row r="671" spans="1:15" ht="12.75" customHeight="1" x14ac:dyDescent="0.25">
      <c r="A671" s="116"/>
      <c r="B671" s="276"/>
      <c r="C671" s="290"/>
      <c r="D671" s="12"/>
      <c r="E671" s="13"/>
      <c r="F671" s="12"/>
      <c r="G671" s="324" t="s">
        <v>388</v>
      </c>
      <c r="H671" s="439"/>
      <c r="I671" s="324"/>
      <c r="J671" s="324" t="s">
        <v>31</v>
      </c>
      <c r="K671" s="1"/>
      <c r="L671" s="145"/>
      <c r="M671" s="682"/>
      <c r="N671" s="116"/>
      <c r="O671" s="116"/>
    </row>
    <row r="672" spans="1:15" ht="12.75" customHeight="1" x14ac:dyDescent="0.25">
      <c r="A672" s="116"/>
      <c r="B672" s="276"/>
      <c r="C672" s="290"/>
      <c r="D672" s="12"/>
      <c r="E672" s="13"/>
      <c r="F672" s="12"/>
      <c r="G672" s="12"/>
      <c r="H672" s="156"/>
      <c r="I672" s="12"/>
      <c r="J672" s="12"/>
      <c r="K672" s="1"/>
      <c r="L672" s="145"/>
      <c r="M672" s="682"/>
      <c r="N672" s="116"/>
      <c r="O672" s="116"/>
    </row>
    <row r="673" spans="1:15" ht="12.75" customHeight="1" x14ac:dyDescent="0.25">
      <c r="A673" s="116"/>
      <c r="B673" s="276" t="s">
        <v>712</v>
      </c>
      <c r="C673" s="290"/>
      <c r="D673" s="12"/>
      <c r="E673" s="13"/>
      <c r="F673" s="12"/>
      <c r="G673" s="12"/>
      <c r="H673" s="156"/>
      <c r="I673" s="12"/>
      <c r="J673" s="12"/>
      <c r="K673" s="1"/>
      <c r="L673" s="145"/>
      <c r="M673" s="682"/>
      <c r="N673" s="116"/>
      <c r="O673" s="116"/>
    </row>
    <row r="674" spans="1:15" ht="12.75" customHeight="1" thickBot="1" x14ac:dyDescent="0.3">
      <c r="A674" s="116"/>
      <c r="B674" s="276"/>
      <c r="C674" s="290"/>
      <c r="D674" s="12"/>
      <c r="E674" s="13"/>
      <c r="F674" s="12"/>
      <c r="G674" s="12"/>
      <c r="H674" s="156"/>
      <c r="I674" s="12"/>
      <c r="J674" s="12"/>
      <c r="K674" s="1"/>
      <c r="L674" s="145"/>
      <c r="M674" s="682"/>
      <c r="N674" s="116"/>
      <c r="O674" s="116"/>
    </row>
    <row r="675" spans="1:15" ht="12.75" customHeight="1" thickBot="1" x14ac:dyDescent="0.3">
      <c r="A675" s="116"/>
      <c r="B675" s="684" t="s">
        <v>12</v>
      </c>
      <c r="C675" s="685"/>
      <c r="D675" s="688" t="s">
        <v>11</v>
      </c>
      <c r="E675" s="690"/>
      <c r="F675" s="690"/>
      <c r="G675" s="690"/>
      <c r="H675" s="690"/>
      <c r="I675" s="690"/>
      <c r="J675" s="690"/>
      <c r="K675" s="1"/>
      <c r="L675" s="145"/>
      <c r="M675" s="682"/>
      <c r="N675" s="116"/>
      <c r="O675" s="116"/>
    </row>
    <row r="676" spans="1:15" ht="12.75" customHeight="1" thickBot="1" x14ac:dyDescent="0.3">
      <c r="A676" s="116"/>
      <c r="B676" s="686"/>
      <c r="C676" s="687"/>
      <c r="D676" s="688"/>
      <c r="E676" s="738" t="s">
        <v>694</v>
      </c>
      <c r="F676" s="725"/>
      <c r="G676" s="726"/>
      <c r="H676" s="738" t="s">
        <v>695</v>
      </c>
      <c r="I676" s="725"/>
      <c r="J676" s="726"/>
      <c r="K676" s="1"/>
      <c r="L676" s="145"/>
      <c r="M676" s="682"/>
      <c r="N676" s="116"/>
      <c r="O676" s="116"/>
    </row>
    <row r="677" spans="1:15" ht="12.75" customHeight="1" thickBot="1" x14ac:dyDescent="0.3">
      <c r="A677" s="116"/>
      <c r="B677" s="238" t="s">
        <v>9</v>
      </c>
      <c r="C677" s="239" t="s">
        <v>10</v>
      </c>
      <c r="D677" s="689"/>
      <c r="E677" s="240" t="s">
        <v>13</v>
      </c>
      <c r="F677" s="241" t="s">
        <v>14</v>
      </c>
      <c r="G677" s="240" t="s">
        <v>15</v>
      </c>
      <c r="H677" s="240" t="s">
        <v>13</v>
      </c>
      <c r="I677" s="241" t="s">
        <v>14</v>
      </c>
      <c r="J677" s="240" t="s">
        <v>15</v>
      </c>
      <c r="K677" s="1"/>
      <c r="L677" s="145"/>
      <c r="M677" s="682"/>
      <c r="N677" s="116"/>
      <c r="O677" s="116"/>
    </row>
    <row r="678" spans="1:15" ht="12.75" customHeight="1" thickBot="1" x14ac:dyDescent="0.3">
      <c r="A678" s="116"/>
      <c r="B678" s="242"/>
      <c r="C678" s="243" t="s">
        <v>8</v>
      </c>
      <c r="D678" s="238" t="s">
        <v>7</v>
      </c>
      <c r="E678" s="244" t="s">
        <v>565</v>
      </c>
      <c r="F678" s="245" t="s">
        <v>565</v>
      </c>
      <c r="G678" s="244" t="s">
        <v>566</v>
      </c>
      <c r="H678" s="244" t="s">
        <v>7</v>
      </c>
      <c r="I678" s="245" t="s">
        <v>7</v>
      </c>
      <c r="J678" s="244" t="s">
        <v>565</v>
      </c>
      <c r="K678" s="1"/>
      <c r="L678" s="145"/>
      <c r="M678" s="682"/>
      <c r="N678" s="116"/>
      <c r="O678" s="116"/>
    </row>
    <row r="679" spans="1:15" ht="12.75" customHeight="1" thickBot="1" x14ac:dyDescent="0.3">
      <c r="A679" s="116"/>
      <c r="B679" s="248" t="s">
        <v>34</v>
      </c>
      <c r="C679" s="249"/>
      <c r="D679" s="250"/>
      <c r="E679" s="251"/>
      <c r="F679" s="328"/>
      <c r="G679" s="251"/>
      <c r="H679" s="251"/>
      <c r="I679" s="328"/>
      <c r="J679" s="251"/>
      <c r="K679" s="1"/>
      <c r="L679" s="145"/>
      <c r="M679" s="682"/>
      <c r="N679" s="116"/>
      <c r="O679" s="116"/>
    </row>
    <row r="680" spans="1:15" ht="12.75" customHeight="1" x14ac:dyDescent="0.25">
      <c r="A680" s="116"/>
      <c r="B680" s="718" t="s">
        <v>35</v>
      </c>
      <c r="C680" s="719">
        <v>0</v>
      </c>
      <c r="D680" s="708">
        <f>(C682-C680)*1000</f>
        <v>7.29</v>
      </c>
      <c r="E680" s="708">
        <v>0</v>
      </c>
      <c r="F680" s="708">
        <f>(E680+E682)/2</f>
        <v>0.5</v>
      </c>
      <c r="G680" s="708">
        <f>F680*D680</f>
        <v>3.645</v>
      </c>
      <c r="H680" s="734">
        <v>0</v>
      </c>
      <c r="I680" s="708">
        <f>(H680+H682)/2</f>
        <v>0.55000000000000004</v>
      </c>
      <c r="J680" s="708">
        <f>I680*D680</f>
        <v>4.0095000000000001</v>
      </c>
      <c r="K680" s="1"/>
      <c r="L680" s="145"/>
      <c r="M680" s="682"/>
      <c r="N680" s="116"/>
      <c r="O680" s="116"/>
    </row>
    <row r="681" spans="1:15" ht="12.75" customHeight="1" x14ac:dyDescent="0.25">
      <c r="A681" s="116"/>
      <c r="B681" s="691"/>
      <c r="C681" s="720"/>
      <c r="D681" s="683"/>
      <c r="E681" s="683"/>
      <c r="F681" s="683"/>
      <c r="G681" s="683"/>
      <c r="H681" s="732"/>
      <c r="I681" s="683"/>
      <c r="J681" s="683"/>
      <c r="K681" s="1"/>
      <c r="L681" s="145"/>
      <c r="M681" s="682"/>
      <c r="N681" s="116"/>
      <c r="O681" s="116"/>
    </row>
    <row r="682" spans="1:15" ht="12.75" customHeight="1" x14ac:dyDescent="0.25">
      <c r="A682" s="116"/>
      <c r="B682" s="691" t="s">
        <v>36</v>
      </c>
      <c r="C682" s="720">
        <v>7.2899999999999996E-3</v>
      </c>
      <c r="D682" s="683"/>
      <c r="E682" s="683">
        <v>1</v>
      </c>
      <c r="F682" s="683"/>
      <c r="G682" s="683"/>
      <c r="H682" s="697">
        <v>1.1000000000000001</v>
      </c>
      <c r="I682" s="683"/>
      <c r="J682" s="683"/>
      <c r="K682" s="1"/>
      <c r="L682" s="145"/>
      <c r="M682" s="682"/>
      <c r="N682" s="116"/>
      <c r="O682" s="116"/>
    </row>
    <row r="683" spans="1:15" ht="12.75" customHeight="1" x14ac:dyDescent="0.25">
      <c r="A683" s="116"/>
      <c r="B683" s="691"/>
      <c r="C683" s="720"/>
      <c r="D683" s="683">
        <f>(C684-C682)*1000</f>
        <v>11.88</v>
      </c>
      <c r="E683" s="683"/>
      <c r="F683" s="683">
        <f>(E682+E684)/2</f>
        <v>2.85</v>
      </c>
      <c r="G683" s="683">
        <f>F683*D683</f>
        <v>33.858000000000004</v>
      </c>
      <c r="H683" s="704"/>
      <c r="I683" s="683">
        <f>(H682+H684)/2</f>
        <v>3.75</v>
      </c>
      <c r="J683" s="683">
        <f>I683*D683</f>
        <v>44.550000000000004</v>
      </c>
      <c r="K683" s="1"/>
      <c r="L683" s="145"/>
      <c r="M683" s="682"/>
      <c r="N683" s="116"/>
      <c r="O683" s="116"/>
    </row>
    <row r="684" spans="1:15" ht="12.75" customHeight="1" x14ac:dyDescent="0.25">
      <c r="A684" s="116"/>
      <c r="B684" s="691" t="s">
        <v>37</v>
      </c>
      <c r="C684" s="720">
        <v>1.917E-2</v>
      </c>
      <c r="D684" s="683"/>
      <c r="E684" s="683">
        <v>4.7</v>
      </c>
      <c r="F684" s="683"/>
      <c r="G684" s="683"/>
      <c r="H684" s="697">
        <v>6.4</v>
      </c>
      <c r="I684" s="683"/>
      <c r="J684" s="683"/>
      <c r="K684" s="1"/>
      <c r="L684" s="145"/>
      <c r="M684" s="682"/>
      <c r="N684" s="116"/>
      <c r="O684" s="116"/>
    </row>
    <row r="685" spans="1:15" ht="12.75" customHeight="1" x14ac:dyDescent="0.25">
      <c r="A685" s="116"/>
      <c r="B685" s="691"/>
      <c r="C685" s="720"/>
      <c r="D685" s="683">
        <f>(C686-C684)*1000</f>
        <v>11</v>
      </c>
      <c r="E685" s="683"/>
      <c r="F685" s="683">
        <f>(E684+E686)/2</f>
        <v>4.7</v>
      </c>
      <c r="G685" s="683">
        <f>F685*D685</f>
        <v>51.7</v>
      </c>
      <c r="H685" s="704"/>
      <c r="I685" s="683">
        <f>(H684+H686)/2</f>
        <v>6.35</v>
      </c>
      <c r="J685" s="683">
        <f>I685*D685</f>
        <v>69.849999999999994</v>
      </c>
      <c r="K685" s="1"/>
      <c r="L685" s="145"/>
      <c r="M685" s="682"/>
      <c r="N685" s="116"/>
      <c r="O685" s="116"/>
    </row>
    <row r="686" spans="1:15" ht="12.75" customHeight="1" x14ac:dyDescent="0.25">
      <c r="A686" s="116"/>
      <c r="B686" s="691" t="s">
        <v>38</v>
      </c>
      <c r="C686" s="720">
        <v>3.0169999999999999E-2</v>
      </c>
      <c r="D686" s="683"/>
      <c r="E686" s="683">
        <v>4.7</v>
      </c>
      <c r="F686" s="683"/>
      <c r="G686" s="683"/>
      <c r="H686" s="732">
        <v>6.3</v>
      </c>
      <c r="I686" s="683"/>
      <c r="J686" s="683"/>
      <c r="K686" s="1"/>
      <c r="L686" s="145"/>
      <c r="M686" s="682"/>
      <c r="N686" s="116"/>
      <c r="O686" s="116"/>
    </row>
    <row r="687" spans="1:15" ht="12.75" customHeight="1" x14ac:dyDescent="0.25">
      <c r="A687" s="116"/>
      <c r="B687" s="691"/>
      <c r="C687" s="720"/>
      <c r="D687" s="683">
        <f>(C688-C686)*1000</f>
        <v>15.930000000000003</v>
      </c>
      <c r="E687" s="683"/>
      <c r="F687" s="683">
        <f>(E686+E688)/2</f>
        <v>4.6500000000000004</v>
      </c>
      <c r="G687" s="683">
        <f>F687*D687</f>
        <v>74.074500000000015</v>
      </c>
      <c r="H687" s="732"/>
      <c r="I687" s="683">
        <f>(H686+H688)/2</f>
        <v>6.4499999999999993</v>
      </c>
      <c r="J687" s="683">
        <f>I687*D687</f>
        <v>102.74850000000001</v>
      </c>
      <c r="K687" s="1"/>
      <c r="L687" s="145"/>
      <c r="M687" s="682"/>
      <c r="N687" s="116"/>
      <c r="O687" s="116"/>
    </row>
    <row r="688" spans="1:15" ht="12.75" customHeight="1" x14ac:dyDescent="0.25">
      <c r="A688" s="116"/>
      <c r="B688" s="691" t="s">
        <v>39</v>
      </c>
      <c r="C688" s="692">
        <v>4.6100000000000002E-2</v>
      </c>
      <c r="D688" s="683"/>
      <c r="E688" s="683">
        <v>4.5999999999999996</v>
      </c>
      <c r="F688" s="683"/>
      <c r="G688" s="683"/>
      <c r="H688" s="732">
        <v>6.6</v>
      </c>
      <c r="I688" s="683"/>
      <c r="J688" s="683"/>
      <c r="K688" s="1"/>
      <c r="L688" s="145"/>
      <c r="M688" s="682"/>
      <c r="N688" s="116"/>
      <c r="O688" s="116"/>
    </row>
    <row r="689" spans="1:15" ht="12.75" customHeight="1" x14ac:dyDescent="0.25">
      <c r="A689" s="116"/>
      <c r="B689" s="691"/>
      <c r="C689" s="692"/>
      <c r="D689" s="683">
        <f>(C690-C688)*1000</f>
        <v>2.9</v>
      </c>
      <c r="E689" s="683"/>
      <c r="F689" s="683">
        <f>(E688+E690)/2</f>
        <v>4.9000000000000004</v>
      </c>
      <c r="G689" s="683">
        <f>F689*D689</f>
        <v>14.21</v>
      </c>
      <c r="H689" s="732"/>
      <c r="I689" s="683">
        <f>(H688+H690)/2</f>
        <v>6.9</v>
      </c>
      <c r="J689" s="683">
        <f>I689*D689</f>
        <v>20.010000000000002</v>
      </c>
      <c r="K689" s="1"/>
      <c r="L689" s="145"/>
      <c r="M689" s="682"/>
      <c r="N689" s="116"/>
      <c r="O689" s="116"/>
    </row>
    <row r="690" spans="1:15" ht="12.75" customHeight="1" x14ac:dyDescent="0.25">
      <c r="A690" s="116"/>
      <c r="B690" s="691" t="s">
        <v>41</v>
      </c>
      <c r="C690" s="692">
        <v>4.9000000000000002E-2</v>
      </c>
      <c r="D690" s="683"/>
      <c r="E690" s="683">
        <v>5.2</v>
      </c>
      <c r="F690" s="683"/>
      <c r="G690" s="683"/>
      <c r="H690" s="732">
        <v>7.2</v>
      </c>
      <c r="I690" s="683"/>
      <c r="J690" s="683"/>
      <c r="K690" s="439"/>
      <c r="L690" s="145"/>
      <c r="M690" s="682"/>
      <c r="N690" s="116"/>
      <c r="O690" s="116"/>
    </row>
    <row r="691" spans="1:15" ht="12.75" customHeight="1" x14ac:dyDescent="0.25">
      <c r="A691" s="116"/>
      <c r="B691" s="691"/>
      <c r="C691" s="692"/>
      <c r="D691" s="683">
        <f>(C692-C690)*1000</f>
        <v>5.9999999999999982</v>
      </c>
      <c r="E691" s="683"/>
      <c r="F691" s="683">
        <f>(E690+E692)/2</f>
        <v>5.2</v>
      </c>
      <c r="G691" s="683">
        <f>F691*D691</f>
        <v>31.199999999999992</v>
      </c>
      <c r="H691" s="732"/>
      <c r="I691" s="683">
        <f>(H690+H692)/2</f>
        <v>7.2</v>
      </c>
      <c r="J691" s="683">
        <f>I691*D691</f>
        <v>43.199999999999989</v>
      </c>
      <c r="K691" s="439"/>
      <c r="L691" s="145"/>
      <c r="M691" s="682"/>
      <c r="N691" s="116"/>
      <c r="O691" s="116"/>
    </row>
    <row r="692" spans="1:15" ht="12.75" customHeight="1" x14ac:dyDescent="0.25">
      <c r="A692" s="116"/>
      <c r="B692" s="691" t="s">
        <v>41</v>
      </c>
      <c r="C692" s="692">
        <v>5.5E-2</v>
      </c>
      <c r="D692" s="683"/>
      <c r="E692" s="683">
        <v>5.2</v>
      </c>
      <c r="F692" s="683"/>
      <c r="G692" s="683"/>
      <c r="H692" s="732">
        <v>7.2</v>
      </c>
      <c r="I692" s="683"/>
      <c r="J692" s="683"/>
      <c r="K692" s="439"/>
      <c r="L692" s="145"/>
      <c r="M692" s="682"/>
      <c r="N692" s="116"/>
      <c r="O692" s="116"/>
    </row>
    <row r="693" spans="1:15" ht="12.75" customHeight="1" x14ac:dyDescent="0.25">
      <c r="A693" s="116"/>
      <c r="B693" s="691"/>
      <c r="C693" s="692"/>
      <c r="D693" s="683">
        <f>(C694-C692)*1000</f>
        <v>7.23</v>
      </c>
      <c r="E693" s="683"/>
      <c r="F693" s="683">
        <f>(E692+E694)/2</f>
        <v>4.8499999999999996</v>
      </c>
      <c r="G693" s="683">
        <f>F693*D693</f>
        <v>35.0655</v>
      </c>
      <c r="H693" s="732"/>
      <c r="I693" s="683">
        <f>(H692+H694)/2</f>
        <v>6.95</v>
      </c>
      <c r="J693" s="683">
        <f>I693*D693</f>
        <v>50.248500000000007</v>
      </c>
      <c r="K693" s="439"/>
      <c r="L693" s="145"/>
      <c r="M693" s="682"/>
      <c r="N693" s="116"/>
      <c r="O693" s="116"/>
    </row>
    <row r="694" spans="1:15" ht="12.75" customHeight="1" x14ac:dyDescent="0.25">
      <c r="A694" s="116"/>
      <c r="B694" s="691" t="s">
        <v>42</v>
      </c>
      <c r="C694" s="692">
        <v>6.2230000000000001E-2</v>
      </c>
      <c r="D694" s="683"/>
      <c r="E694" s="683">
        <v>4.5</v>
      </c>
      <c r="F694" s="683"/>
      <c r="G694" s="683"/>
      <c r="H694" s="697">
        <v>6.7</v>
      </c>
      <c r="I694" s="683"/>
      <c r="J694" s="683"/>
      <c r="K694" s="439"/>
      <c r="L694" s="145"/>
      <c r="M694" s="682"/>
      <c r="N694" s="116"/>
      <c r="O694" s="116"/>
    </row>
    <row r="695" spans="1:15" ht="12.75" customHeight="1" x14ac:dyDescent="0.25">
      <c r="A695" s="116"/>
      <c r="B695" s="691"/>
      <c r="C695" s="692"/>
      <c r="D695" s="683">
        <f>(C696-C694)*1000</f>
        <v>23.839999999999993</v>
      </c>
      <c r="E695" s="683"/>
      <c r="F695" s="683">
        <f>(E694+E696)/2</f>
        <v>3.75</v>
      </c>
      <c r="G695" s="683">
        <f>F695*D695</f>
        <v>89.399999999999977</v>
      </c>
      <c r="H695" s="704"/>
      <c r="I695" s="683">
        <f>(H694+H696)/2</f>
        <v>6.7</v>
      </c>
      <c r="J695" s="697">
        <f>I695*D695</f>
        <v>159.72799999999995</v>
      </c>
      <c r="K695" s="439"/>
      <c r="L695" s="145"/>
      <c r="M695" s="682"/>
      <c r="N695" s="116"/>
      <c r="O695" s="116"/>
    </row>
    <row r="696" spans="1:15" ht="12.75" customHeight="1" x14ac:dyDescent="0.25">
      <c r="A696" s="116"/>
      <c r="B696" s="691" t="s">
        <v>43</v>
      </c>
      <c r="C696" s="692">
        <v>8.6069999999999994E-2</v>
      </c>
      <c r="D696" s="683"/>
      <c r="E696" s="683">
        <v>3</v>
      </c>
      <c r="F696" s="683"/>
      <c r="G696" s="683"/>
      <c r="H696" s="732">
        <v>6.7</v>
      </c>
      <c r="I696" s="683"/>
      <c r="J696" s="704"/>
      <c r="K696" s="439"/>
      <c r="L696" s="145"/>
      <c r="M696" s="682"/>
      <c r="N696" s="116"/>
      <c r="O696" s="116"/>
    </row>
    <row r="697" spans="1:15" ht="12.75" customHeight="1" thickBot="1" x14ac:dyDescent="0.3">
      <c r="A697" s="116"/>
      <c r="B697" s="722"/>
      <c r="C697" s="696"/>
      <c r="D697" s="254"/>
      <c r="E697" s="697"/>
      <c r="F697" s="257"/>
      <c r="G697" s="257"/>
      <c r="H697" s="735"/>
      <c r="I697" s="257"/>
      <c r="J697" s="254"/>
      <c r="K697" s="439"/>
      <c r="L697" s="145"/>
      <c r="M697" s="682"/>
      <c r="N697" s="116"/>
      <c r="O697" s="116"/>
    </row>
    <row r="698" spans="1:15" ht="12.75" customHeight="1" thickBot="1" x14ac:dyDescent="0.3">
      <c r="A698" s="116"/>
      <c r="B698" s="248"/>
      <c r="C698" s="255"/>
      <c r="D698" s="287"/>
      <c r="E698" s="328"/>
      <c r="F698" s="287"/>
      <c r="G698" s="287">
        <f>SUM(G680:G696)</f>
        <v>333.15300000000002</v>
      </c>
      <c r="H698" s="328"/>
      <c r="I698" s="287"/>
      <c r="J698" s="287">
        <f>SUM(J680:J696)</f>
        <v>494.34449999999993</v>
      </c>
      <c r="K698" s="439"/>
      <c r="L698" s="145"/>
      <c r="M698" s="682"/>
      <c r="N698" s="116"/>
      <c r="O698" s="116"/>
    </row>
    <row r="699" spans="1:15" ht="12.75" customHeight="1" x14ac:dyDescent="0.25">
      <c r="A699" s="180"/>
      <c r="B699" s="177"/>
      <c r="C699" s="180"/>
      <c r="D699" s="149"/>
      <c r="E699" s="180"/>
      <c r="F699" s="149"/>
      <c r="G699" s="149"/>
      <c r="H699" s="150"/>
      <c r="I699" s="149"/>
      <c r="J699" s="149"/>
      <c r="K699" s="150"/>
      <c r="L699" s="149"/>
      <c r="M699" s="682"/>
      <c r="N699" s="116"/>
      <c r="O699" s="116"/>
    </row>
    <row r="700" spans="1:15" ht="12.75" customHeight="1" x14ac:dyDescent="0.25">
      <c r="A700" s="180"/>
      <c r="B700" s="56" t="s">
        <v>713</v>
      </c>
      <c r="C700" s="180"/>
      <c r="D700" s="149"/>
      <c r="E700" s="180"/>
      <c r="F700" s="149"/>
      <c r="G700" s="149"/>
      <c r="H700" s="150"/>
      <c r="I700" s="149"/>
      <c r="J700" s="149"/>
      <c r="K700" s="150"/>
      <c r="L700" s="149"/>
      <c r="M700" s="682"/>
      <c r="N700" s="116"/>
      <c r="O700" s="116"/>
    </row>
    <row r="701" spans="1:15" ht="13.5" customHeight="1" x14ac:dyDescent="0.25">
      <c r="A701" s="180"/>
      <c r="B701" s="541" t="s">
        <v>700</v>
      </c>
      <c r="C701" s="541"/>
      <c r="D701" s="541" t="s">
        <v>141</v>
      </c>
      <c r="E701" s="541">
        <v>12.8</v>
      </c>
      <c r="F701" s="541"/>
      <c r="G701" s="541"/>
      <c r="H701" s="541"/>
      <c r="I701" s="541"/>
      <c r="J701" s="541"/>
      <c r="K701" s="541"/>
      <c r="L701" s="149"/>
      <c r="M701" s="682"/>
      <c r="N701" s="116"/>
      <c r="O701" s="116"/>
    </row>
    <row r="702" spans="1:15" ht="12.75" customHeight="1" x14ac:dyDescent="0.25">
      <c r="A702" s="180"/>
      <c r="B702" s="542" t="s">
        <v>701</v>
      </c>
      <c r="C702" s="542"/>
      <c r="D702" s="542" t="s">
        <v>141</v>
      </c>
      <c r="E702" s="542">
        <v>18</v>
      </c>
      <c r="F702" s="542" t="s">
        <v>7</v>
      </c>
      <c r="G702" s="542"/>
      <c r="H702" s="541"/>
      <c r="I702" s="541"/>
      <c r="J702" s="541"/>
      <c r="K702" s="541"/>
      <c r="L702" s="149"/>
      <c r="M702" s="682"/>
      <c r="N702" s="116"/>
      <c r="O702" s="116"/>
    </row>
    <row r="703" spans="1:15" ht="12.75" customHeight="1" x14ac:dyDescent="0.25">
      <c r="A703" s="180"/>
      <c r="B703" s="541" t="s">
        <v>495</v>
      </c>
      <c r="C703" s="541"/>
      <c r="D703" s="541"/>
      <c r="E703" s="541">
        <f>SUM(E701:E702)</f>
        <v>30.8</v>
      </c>
      <c r="F703" s="541" t="s">
        <v>7</v>
      </c>
      <c r="G703" s="541"/>
      <c r="H703" s="541"/>
      <c r="I703" s="541"/>
      <c r="J703" s="541"/>
      <c r="K703" s="541"/>
      <c r="L703" s="149"/>
      <c r="M703" s="682"/>
      <c r="N703" s="116"/>
      <c r="O703" s="116"/>
    </row>
    <row r="704" spans="1:15" ht="12.75" customHeight="1" x14ac:dyDescent="0.25">
      <c r="A704" s="180"/>
      <c r="B704" s="542" t="s">
        <v>21</v>
      </c>
      <c r="C704" s="542"/>
      <c r="D704" s="542"/>
      <c r="E704" s="543">
        <v>4.5</v>
      </c>
      <c r="F704" s="542"/>
      <c r="G704" s="542"/>
      <c r="H704" s="542"/>
      <c r="I704" s="541"/>
      <c r="J704" s="541"/>
      <c r="K704" s="541"/>
      <c r="L704" s="149"/>
      <c r="M704" s="682"/>
      <c r="N704" s="116"/>
      <c r="O704" s="116"/>
    </row>
    <row r="705" spans="1:15" ht="12.75" customHeight="1" x14ac:dyDescent="0.25">
      <c r="A705" s="180"/>
      <c r="B705" s="544" t="s">
        <v>22</v>
      </c>
      <c r="C705" s="541"/>
      <c r="D705" s="541"/>
      <c r="E705" s="541"/>
      <c r="F705" s="541"/>
      <c r="G705" s="541">
        <f>E703*E704</f>
        <v>138.6</v>
      </c>
      <c r="H705" s="541" t="s">
        <v>24</v>
      </c>
      <c r="I705" s="541"/>
      <c r="J705" s="541"/>
      <c r="K705" s="541"/>
      <c r="L705" s="149"/>
      <c r="M705" s="682"/>
      <c r="N705" s="116"/>
      <c r="O705" s="116"/>
    </row>
    <row r="706" spans="1:15" ht="12.75" customHeight="1" x14ac:dyDescent="0.25">
      <c r="A706" s="180"/>
      <c r="B706" s="541" t="s">
        <v>31</v>
      </c>
      <c r="C706" s="541" t="s">
        <v>702</v>
      </c>
      <c r="D706" s="541"/>
      <c r="E706" s="541"/>
      <c r="F706" s="541"/>
      <c r="G706" s="541"/>
      <c r="H706" s="541"/>
      <c r="I706" s="541"/>
      <c r="J706" s="541">
        <f>7*30.8</f>
        <v>215.6</v>
      </c>
      <c r="K706" s="541" t="s">
        <v>23</v>
      </c>
      <c r="L706" s="149"/>
      <c r="M706" s="682"/>
      <c r="N706" s="116"/>
      <c r="O706" s="116"/>
    </row>
    <row r="707" spans="1:15" ht="12.75" customHeight="1" x14ac:dyDescent="0.25">
      <c r="A707" s="180"/>
      <c r="B707" s="430"/>
      <c r="C707" s="430"/>
      <c r="D707" s="430"/>
      <c r="E707" s="430"/>
      <c r="F707" s="430"/>
      <c r="G707" s="430"/>
      <c r="H707" s="430"/>
      <c r="I707" s="430"/>
      <c r="J707" s="541"/>
      <c r="K707" s="541"/>
      <c r="L707" s="149"/>
      <c r="M707" s="682"/>
      <c r="N707" s="116"/>
      <c r="O707" s="116"/>
    </row>
    <row r="708" spans="1:15" ht="12.75" customHeight="1" x14ac:dyDescent="0.25">
      <c r="A708" s="180"/>
      <c r="B708" s="486" t="s">
        <v>86</v>
      </c>
      <c r="C708" s="65"/>
      <c r="D708" s="51"/>
      <c r="E708" s="55"/>
      <c r="F708" s="51"/>
      <c r="G708" s="51"/>
      <c r="H708" s="55"/>
      <c r="I708" s="430"/>
      <c r="J708" s="541"/>
      <c r="K708" s="541"/>
      <c r="L708" s="149"/>
      <c r="M708" s="682"/>
      <c r="N708" s="116"/>
      <c r="O708" s="116"/>
    </row>
    <row r="709" spans="1:15" ht="12.75" customHeight="1" x14ac:dyDescent="0.25">
      <c r="A709" s="180"/>
      <c r="B709" s="486" t="s">
        <v>308</v>
      </c>
      <c r="C709" s="65"/>
      <c r="D709" s="51"/>
      <c r="E709" s="55"/>
      <c r="F709" s="51"/>
      <c r="G709" s="51"/>
      <c r="H709" s="55"/>
      <c r="I709" s="430"/>
      <c r="J709" s="541"/>
      <c r="K709" s="541"/>
      <c r="L709" s="149"/>
      <c r="M709" s="682"/>
      <c r="N709" s="116"/>
      <c r="O709" s="116"/>
    </row>
    <row r="710" spans="1:15" ht="12.75" customHeight="1" x14ac:dyDescent="0.25">
      <c r="A710" s="180"/>
      <c r="B710" s="56" t="s">
        <v>21</v>
      </c>
      <c r="C710" s="430"/>
      <c r="D710" s="51"/>
      <c r="E710" s="65">
        <v>1.8</v>
      </c>
      <c r="F710" s="51" t="s">
        <v>23</v>
      </c>
      <c r="G710" s="51"/>
      <c r="H710" s="55"/>
      <c r="I710" s="430"/>
      <c r="J710" s="541"/>
      <c r="K710" s="541"/>
      <c r="L710" s="149"/>
      <c r="M710" s="682"/>
      <c r="N710" s="116"/>
      <c r="O710" s="116"/>
    </row>
    <row r="711" spans="1:15" ht="12.75" customHeight="1" x14ac:dyDescent="0.25">
      <c r="A711" s="180"/>
      <c r="B711" s="399" t="s">
        <v>309</v>
      </c>
      <c r="C711" s="431"/>
      <c r="D711" s="52"/>
      <c r="E711" s="431">
        <v>7.5</v>
      </c>
      <c r="F711" s="52" t="s">
        <v>7</v>
      </c>
      <c r="G711" s="52"/>
      <c r="H711" s="57"/>
      <c r="I711" s="430"/>
      <c r="J711" s="541"/>
      <c r="K711" s="541"/>
      <c r="L711" s="149"/>
      <c r="M711" s="682"/>
      <c r="N711" s="116"/>
      <c r="O711" s="116"/>
    </row>
    <row r="712" spans="1:15" ht="12.75" customHeight="1" x14ac:dyDescent="0.25">
      <c r="A712" s="180"/>
      <c r="B712" s="390" t="s">
        <v>22</v>
      </c>
      <c r="C712" s="65"/>
      <c r="D712" s="51"/>
      <c r="E712" s="55"/>
      <c r="F712" s="51"/>
      <c r="G712" s="51">
        <f>E710*E711</f>
        <v>13.5</v>
      </c>
      <c r="H712" s="55" t="s">
        <v>24</v>
      </c>
      <c r="I712" s="430"/>
      <c r="J712" s="541"/>
      <c r="K712" s="541"/>
      <c r="L712" s="149"/>
      <c r="M712" s="682"/>
      <c r="N712" s="116"/>
      <c r="O712" s="116"/>
    </row>
    <row r="713" spans="1:15" ht="12.75" customHeight="1" x14ac:dyDescent="0.25">
      <c r="A713" s="180"/>
      <c r="B713" s="56" t="s">
        <v>310</v>
      </c>
      <c r="C713" s="65"/>
      <c r="D713" s="51"/>
      <c r="E713" s="55"/>
      <c r="F713" s="51"/>
      <c r="G713" s="51"/>
      <c r="H713" s="55"/>
      <c r="I713" s="430"/>
      <c r="J713" s="541"/>
      <c r="K713" s="541"/>
      <c r="L713" s="149"/>
      <c r="M713" s="682"/>
      <c r="N713" s="116"/>
      <c r="O713" s="116"/>
    </row>
    <row r="714" spans="1:15" ht="12.75" customHeight="1" x14ac:dyDescent="0.25">
      <c r="A714" s="180"/>
      <c r="B714" s="486" t="s">
        <v>311</v>
      </c>
      <c r="C714" s="430"/>
      <c r="D714" s="51"/>
      <c r="E714" s="65">
        <v>1.8</v>
      </c>
      <c r="F714" s="51"/>
      <c r="G714" s="51"/>
      <c r="H714" s="55"/>
      <c r="I714" s="430"/>
      <c r="J714" s="541"/>
      <c r="K714" s="541"/>
      <c r="L714" s="149"/>
      <c r="M714" s="682"/>
      <c r="N714" s="116"/>
      <c r="O714" s="116"/>
    </row>
    <row r="715" spans="1:15" ht="12.75" customHeight="1" x14ac:dyDescent="0.25">
      <c r="A715" s="180"/>
      <c r="B715" s="486" t="s">
        <v>309</v>
      </c>
      <c r="C715" s="65"/>
      <c r="D715" s="51"/>
      <c r="E715" s="65">
        <v>17.5</v>
      </c>
      <c r="F715" s="51"/>
      <c r="G715" s="51"/>
      <c r="H715" s="55"/>
      <c r="I715" s="430"/>
      <c r="J715" s="546"/>
      <c r="K715" s="546"/>
      <c r="L715" s="149"/>
      <c r="M715" s="682"/>
      <c r="N715" s="116"/>
      <c r="O715" s="116"/>
    </row>
    <row r="716" spans="1:15" ht="12.75" customHeight="1" x14ac:dyDescent="0.25">
      <c r="A716" s="180"/>
      <c r="B716" s="551" t="s">
        <v>22</v>
      </c>
      <c r="C716" s="552"/>
      <c r="D716" s="553"/>
      <c r="E716" s="554"/>
      <c r="F716" s="553"/>
      <c r="G716" s="553">
        <f>E714*E715</f>
        <v>31.5</v>
      </c>
      <c r="H716" s="554" t="s">
        <v>24</v>
      </c>
      <c r="I716" s="552"/>
      <c r="J716" s="546"/>
      <c r="K716" s="546"/>
      <c r="L716" s="149"/>
      <c r="M716" s="682"/>
      <c r="N716" s="116"/>
      <c r="O716" s="116"/>
    </row>
    <row r="717" spans="1:15" ht="12.75" customHeight="1" x14ac:dyDescent="0.25">
      <c r="A717" s="180"/>
      <c r="B717" s="398" t="s">
        <v>31</v>
      </c>
      <c r="C717" s="431"/>
      <c r="D717" s="52" t="s">
        <v>717</v>
      </c>
      <c r="E717" s="57"/>
      <c r="F717" s="52"/>
      <c r="G717" s="52"/>
      <c r="H717" s="57"/>
      <c r="I717" s="52">
        <f xml:space="preserve"> 15*4</f>
        <v>60</v>
      </c>
      <c r="J717" s="52"/>
      <c r="K717" s="542" t="s">
        <v>23</v>
      </c>
      <c r="L717" s="149"/>
      <c r="M717" s="682"/>
      <c r="N717" s="116"/>
      <c r="O717" s="116"/>
    </row>
    <row r="718" spans="1:15" ht="12.75" customHeight="1" x14ac:dyDescent="0.25">
      <c r="A718" s="180"/>
      <c r="B718" s="390"/>
      <c r="C718" s="65"/>
      <c r="D718" s="51"/>
      <c r="E718" s="55"/>
      <c r="F718" s="51"/>
      <c r="G718" s="51"/>
      <c r="H718" s="55"/>
      <c r="I718" s="65"/>
      <c r="J718" s="546"/>
      <c r="K718" s="546"/>
      <c r="L718" s="149"/>
      <c r="M718" s="682"/>
      <c r="N718" s="116"/>
      <c r="O718" s="116"/>
    </row>
    <row r="719" spans="1:15" ht="12.75" customHeight="1" x14ac:dyDescent="0.25">
      <c r="A719" s="180"/>
      <c r="B719" s="549" t="s">
        <v>715</v>
      </c>
      <c r="C719" s="549"/>
      <c r="D719" s="549"/>
      <c r="E719" s="430"/>
      <c r="F719" s="430"/>
      <c r="G719" s="545">
        <f>SUM(G698:G716)</f>
        <v>516.75300000000004</v>
      </c>
      <c r="H719" s="430" t="s">
        <v>24</v>
      </c>
      <c r="I719" s="430"/>
      <c r="J719" s="548">
        <f>SUM(J698:J718)</f>
        <v>709.94449999999995</v>
      </c>
      <c r="K719" s="541" t="s">
        <v>23</v>
      </c>
      <c r="L719" s="149"/>
      <c r="M719" s="682"/>
      <c r="N719" s="116"/>
      <c r="O719" s="116"/>
    </row>
    <row r="720" spans="1:15" ht="12.75" customHeight="1" x14ac:dyDescent="0.25">
      <c r="A720" s="180"/>
      <c r="B720" s="430"/>
      <c r="C720" s="430"/>
      <c r="D720" s="430"/>
      <c r="E720" s="430"/>
      <c r="F720" s="430"/>
      <c r="G720" s="324" t="s">
        <v>388</v>
      </c>
      <c r="H720" s="439"/>
      <c r="I720" s="324"/>
      <c r="J720" s="324" t="s">
        <v>31</v>
      </c>
      <c r="K720" s="541"/>
      <c r="L720" s="149"/>
      <c r="M720" s="682"/>
      <c r="N720" s="116"/>
      <c r="O720" s="116"/>
    </row>
    <row r="721" spans="1:15" ht="12.75" customHeight="1" x14ac:dyDescent="0.25">
      <c r="A721" s="180"/>
      <c r="B721" s="541" t="s">
        <v>617</v>
      </c>
      <c r="C721" s="541" t="s">
        <v>714</v>
      </c>
      <c r="D721" s="541"/>
      <c r="E721" s="541"/>
      <c r="F721" s="541"/>
      <c r="G721" s="541"/>
      <c r="H721" s="541"/>
      <c r="I721" s="541"/>
      <c r="J721" s="541"/>
      <c r="K721" s="541"/>
      <c r="L721" s="149"/>
      <c r="M721" s="682"/>
      <c r="N721" s="116"/>
      <c r="O721" s="116"/>
    </row>
    <row r="722" spans="1:15" ht="12.75" customHeight="1" x14ac:dyDescent="0.25">
      <c r="A722" s="180"/>
      <c r="B722" s="546" t="s">
        <v>405</v>
      </c>
      <c r="C722" s="546"/>
      <c r="D722" s="546"/>
      <c r="E722" s="546"/>
      <c r="F722" s="546"/>
      <c r="G722" s="547">
        <f>G670</f>
        <v>553.28300000000002</v>
      </c>
      <c r="H722" s="546" t="s">
        <v>24</v>
      </c>
      <c r="I722" s="546"/>
      <c r="J722" s="547">
        <f>J670</f>
        <v>638.09449999999993</v>
      </c>
      <c r="K722" s="546"/>
      <c r="L722" s="149"/>
      <c r="M722" s="682"/>
      <c r="N722" s="116"/>
      <c r="O722" s="116"/>
    </row>
    <row r="723" spans="1:15" ht="12.75" customHeight="1" x14ac:dyDescent="0.25">
      <c r="A723" s="180"/>
      <c r="B723" s="542" t="s">
        <v>58</v>
      </c>
      <c r="C723" s="542"/>
      <c r="D723" s="542"/>
      <c r="E723" s="542"/>
      <c r="F723" s="542"/>
      <c r="G723" s="543">
        <f>G719</f>
        <v>516.75300000000004</v>
      </c>
      <c r="H723" s="542" t="s">
        <v>24</v>
      </c>
      <c r="I723" s="546"/>
      <c r="J723" s="547">
        <f>J719</f>
        <v>709.94449999999995</v>
      </c>
      <c r="K723" s="546"/>
      <c r="L723" s="149"/>
      <c r="M723" s="682"/>
      <c r="N723" s="116"/>
      <c r="O723" s="116"/>
    </row>
    <row r="724" spans="1:15" ht="12.75" customHeight="1" x14ac:dyDescent="0.25">
      <c r="A724" s="180"/>
      <c r="B724" s="549" t="s">
        <v>716</v>
      </c>
      <c r="C724" s="549"/>
      <c r="D724" s="549"/>
      <c r="E724" s="549"/>
      <c r="F724" s="549"/>
      <c r="G724" s="550">
        <f>SUM(G722:G723)</f>
        <v>1070.0360000000001</v>
      </c>
      <c r="H724" s="549" t="s">
        <v>24</v>
      </c>
      <c r="I724" s="549"/>
      <c r="J724" s="547">
        <f>SUM(J722:J723)</f>
        <v>1348.0389999999998</v>
      </c>
      <c r="K724" s="546" t="s">
        <v>23</v>
      </c>
      <c r="L724" s="149"/>
      <c r="M724" s="682"/>
      <c r="N724" s="116"/>
      <c r="O724" s="116"/>
    </row>
    <row r="725" spans="1:15" ht="12.75" customHeight="1" x14ac:dyDescent="0.25">
      <c r="A725" s="116"/>
      <c r="B725" s="176"/>
      <c r="C725" s="130"/>
      <c r="D725" s="149"/>
      <c r="E725" s="150"/>
      <c r="F725" s="149"/>
      <c r="G725" s="149"/>
      <c r="H725" s="150"/>
      <c r="I725" s="149"/>
      <c r="J725" s="149"/>
      <c r="K725" s="439"/>
      <c r="L725" s="145"/>
      <c r="M725" s="682"/>
      <c r="N725" s="116"/>
      <c r="O725" s="116"/>
    </row>
    <row r="726" spans="1:15" ht="12.75" customHeight="1" x14ac:dyDescent="0.25">
      <c r="A726" s="116"/>
      <c r="B726" s="390"/>
      <c r="C726" s="14"/>
      <c r="D726" s="51"/>
      <c r="E726" s="55"/>
      <c r="F726" s="51"/>
      <c r="G726" s="51"/>
      <c r="H726" s="55"/>
      <c r="I726" s="149"/>
      <c r="J726" s="149"/>
      <c r="K726" s="439"/>
      <c r="L726" s="145"/>
      <c r="M726" s="682"/>
      <c r="N726" s="116"/>
      <c r="O726" s="116"/>
    </row>
    <row r="727" spans="1:15" ht="12.75" customHeight="1" x14ac:dyDescent="0.25">
      <c r="A727" s="116"/>
      <c r="B727" s="401" t="s">
        <v>381</v>
      </c>
      <c r="C727" s="290"/>
      <c r="D727" s="12"/>
      <c r="E727" s="13"/>
      <c r="F727" s="12"/>
      <c r="G727" s="12"/>
      <c r="H727" s="13"/>
      <c r="I727" s="149"/>
      <c r="J727" s="149"/>
      <c r="K727" s="439"/>
      <c r="L727" s="145"/>
      <c r="M727" s="682"/>
      <c r="N727" s="116"/>
      <c r="O727" s="116"/>
    </row>
    <row r="728" spans="1:15" ht="12.75" customHeight="1" x14ac:dyDescent="0.25">
      <c r="A728" s="116"/>
      <c r="B728" s="401"/>
      <c r="C728" s="290"/>
      <c r="D728" s="12"/>
      <c r="E728" s="13"/>
      <c r="F728" s="12"/>
      <c r="G728" s="12"/>
      <c r="H728" s="13"/>
      <c r="I728" s="149"/>
      <c r="J728" s="149"/>
      <c r="K728" s="439"/>
      <c r="L728" s="145"/>
      <c r="M728" s="682"/>
      <c r="N728" s="116"/>
      <c r="O728" s="116"/>
    </row>
    <row r="729" spans="1:15" ht="12.75" customHeight="1" x14ac:dyDescent="0.25">
      <c r="A729" s="116"/>
      <c r="B729" s="56" t="s">
        <v>290</v>
      </c>
      <c r="C729" s="14"/>
      <c r="D729" s="51"/>
      <c r="E729" s="55"/>
      <c r="F729" s="51"/>
      <c r="G729" s="51"/>
      <c r="H729" s="55"/>
      <c r="I729" s="149"/>
      <c r="J729" s="149"/>
      <c r="K729" s="439"/>
      <c r="L729" s="145"/>
      <c r="M729" s="682"/>
      <c r="N729" s="116"/>
      <c r="O729" s="116"/>
    </row>
    <row r="730" spans="1:15" ht="12.75" customHeight="1" x14ac:dyDescent="0.25">
      <c r="A730" s="116"/>
      <c r="B730" s="56" t="s">
        <v>295</v>
      </c>
      <c r="C730" s="14"/>
      <c r="D730" s="51"/>
      <c r="E730" s="55"/>
      <c r="F730" s="51"/>
      <c r="G730" s="51">
        <f>G311</f>
        <v>44.72</v>
      </c>
      <c r="H730" s="55" t="s">
        <v>24</v>
      </c>
      <c r="I730" s="149"/>
      <c r="J730" s="149"/>
      <c r="K730" s="439"/>
      <c r="L730" s="145"/>
      <c r="M730" s="682"/>
      <c r="N730" s="116"/>
      <c r="O730" s="116"/>
    </row>
    <row r="731" spans="1:15" ht="12.75" customHeight="1" x14ac:dyDescent="0.25">
      <c r="A731" s="116"/>
      <c r="B731" s="177"/>
      <c r="C731" s="130"/>
      <c r="D731" s="149"/>
      <c r="E731" s="150"/>
      <c r="F731" s="149"/>
      <c r="G731" s="149"/>
      <c r="H731" s="150"/>
      <c r="I731" s="149"/>
      <c r="J731" s="149"/>
      <c r="K731" s="439"/>
      <c r="L731" s="145"/>
      <c r="M731" s="682"/>
      <c r="N731" s="116"/>
      <c r="O731" s="116"/>
    </row>
    <row r="732" spans="1:15" ht="12.75" customHeight="1" x14ac:dyDescent="0.25">
      <c r="A732" s="116"/>
      <c r="B732" s="390" t="s">
        <v>378</v>
      </c>
      <c r="C732" s="14" t="s">
        <v>434</v>
      </c>
      <c r="D732" s="51"/>
      <c r="E732" s="55"/>
      <c r="F732" s="51"/>
      <c r="G732" s="51"/>
      <c r="H732" s="55"/>
      <c r="I732" s="51"/>
      <c r="J732" s="149"/>
      <c r="K732" s="439"/>
      <c r="L732" s="145"/>
      <c r="M732" s="682"/>
      <c r="N732" s="116"/>
      <c r="O732" s="116"/>
    </row>
    <row r="733" spans="1:15" ht="12.75" customHeight="1" x14ac:dyDescent="0.25">
      <c r="A733" s="116"/>
      <c r="B733" s="390"/>
      <c r="C733" s="14" t="s">
        <v>299</v>
      </c>
      <c r="D733" s="51"/>
      <c r="E733" s="55"/>
      <c r="F733" s="51"/>
      <c r="G733" s="51"/>
      <c r="H733" s="55"/>
      <c r="I733" s="51"/>
      <c r="J733" s="149"/>
      <c r="K733" s="439"/>
      <c r="L733" s="145"/>
      <c r="M733" s="682"/>
      <c r="N733" s="116"/>
      <c r="O733" s="116"/>
    </row>
    <row r="734" spans="1:15" ht="12.75" customHeight="1" x14ac:dyDescent="0.25">
      <c r="A734" s="116"/>
      <c r="B734" s="486" t="s">
        <v>21</v>
      </c>
      <c r="C734" s="5"/>
      <c r="D734" s="5"/>
      <c r="E734" s="65">
        <v>1.5</v>
      </c>
      <c r="F734" s="51" t="s">
        <v>23</v>
      </c>
      <c r="G734" s="51"/>
      <c r="H734" s="55"/>
      <c r="I734" s="51"/>
      <c r="J734" s="149"/>
      <c r="K734" s="439"/>
      <c r="L734" s="145"/>
      <c r="M734" s="682"/>
      <c r="N734" s="116"/>
      <c r="O734" s="116"/>
    </row>
    <row r="735" spans="1:15" ht="12.75" customHeight="1" x14ac:dyDescent="0.25">
      <c r="A735" s="116"/>
      <c r="B735" s="398" t="s">
        <v>289</v>
      </c>
      <c r="C735" s="120"/>
      <c r="D735" s="120"/>
      <c r="E735" s="431">
        <v>75.2</v>
      </c>
      <c r="F735" s="52" t="s">
        <v>7</v>
      </c>
      <c r="G735" s="52"/>
      <c r="H735" s="57"/>
      <c r="I735" s="52"/>
      <c r="J735" s="149"/>
      <c r="K735" s="439"/>
      <c r="L735" s="145"/>
      <c r="M735" s="682"/>
      <c r="N735" s="116"/>
      <c r="O735" s="116"/>
    </row>
    <row r="736" spans="1:15" ht="12.75" customHeight="1" x14ac:dyDescent="0.25">
      <c r="A736" s="116"/>
      <c r="B736" s="390" t="s">
        <v>22</v>
      </c>
      <c r="C736" s="65"/>
      <c r="D736" s="51"/>
      <c r="E736" s="11"/>
      <c r="F736" s="11"/>
      <c r="G736" s="5"/>
      <c r="H736" s="55">
        <f>E734*E735</f>
        <v>112.80000000000001</v>
      </c>
      <c r="I736" s="51" t="s">
        <v>24</v>
      </c>
      <c r="J736" s="149"/>
      <c r="K736" s="439"/>
      <c r="L736" s="145"/>
      <c r="M736" s="682"/>
      <c r="N736" s="116"/>
      <c r="O736" s="116"/>
    </row>
    <row r="737" spans="1:15" ht="12.75" customHeight="1" x14ac:dyDescent="0.25">
      <c r="A737" s="116"/>
      <c r="B737" s="390"/>
      <c r="C737" s="14"/>
      <c r="D737" s="51"/>
      <c r="E737" s="55"/>
      <c r="F737" s="51"/>
      <c r="G737" s="5"/>
      <c r="H737" s="51"/>
      <c r="I737" s="55"/>
      <c r="J737" s="149"/>
      <c r="K737" s="439"/>
      <c r="L737" s="145"/>
      <c r="M737" s="682"/>
      <c r="N737" s="116"/>
      <c r="O737" s="116"/>
    </row>
    <row r="738" spans="1:15" ht="12.75" customHeight="1" x14ac:dyDescent="0.25">
      <c r="A738" s="116"/>
      <c r="B738" s="56" t="s">
        <v>314</v>
      </c>
      <c r="C738" s="14"/>
      <c r="D738" s="51"/>
      <c r="E738" s="55"/>
      <c r="F738" s="51"/>
      <c r="G738" s="5"/>
      <c r="H738" s="51"/>
      <c r="I738" s="55"/>
      <c r="J738" s="149"/>
      <c r="K738" s="439"/>
      <c r="L738" s="145"/>
      <c r="M738" s="682"/>
      <c r="N738" s="116"/>
      <c r="O738" s="116"/>
    </row>
    <row r="739" spans="1:15" ht="12.75" customHeight="1" x14ac:dyDescent="0.25">
      <c r="A739" s="116"/>
      <c r="B739" s="56" t="s">
        <v>454</v>
      </c>
      <c r="C739" s="14"/>
      <c r="D739" s="51"/>
      <c r="E739" s="55"/>
      <c r="F739" s="51"/>
      <c r="G739" s="5"/>
      <c r="H739" s="51"/>
      <c r="I739" s="55"/>
      <c r="J739" s="149"/>
      <c r="K739" s="146"/>
      <c r="L739" s="145"/>
      <c r="M739" s="682"/>
      <c r="N739" s="116"/>
      <c r="O739" s="116"/>
    </row>
    <row r="740" spans="1:15" ht="12.75" customHeight="1" x14ac:dyDescent="0.25">
      <c r="A740" s="116"/>
      <c r="B740" s="56" t="s">
        <v>144</v>
      </c>
      <c r="C740" s="11"/>
      <c r="D740" s="11"/>
      <c r="E740" s="55"/>
      <c r="F740" s="14">
        <v>52</v>
      </c>
      <c r="G740" s="51" t="s">
        <v>23</v>
      </c>
      <c r="H740" s="51"/>
      <c r="I740" s="55"/>
      <c r="J740" s="149"/>
      <c r="K740" s="146"/>
      <c r="L740" s="145"/>
      <c r="M740" s="682"/>
      <c r="N740" s="116"/>
      <c r="O740" s="116"/>
    </row>
    <row r="741" spans="1:15" ht="12.75" customHeight="1" x14ac:dyDescent="0.25">
      <c r="A741" s="116"/>
      <c r="B741" s="398" t="s">
        <v>187</v>
      </c>
      <c r="C741" s="120"/>
      <c r="D741" s="120"/>
      <c r="E741" s="57"/>
      <c r="F741" s="17">
        <v>0.9</v>
      </c>
      <c r="G741" s="52" t="s">
        <v>7</v>
      </c>
      <c r="H741" s="52"/>
      <c r="I741" s="57"/>
      <c r="J741" s="149"/>
      <c r="K741" s="146"/>
      <c r="L741" s="145"/>
      <c r="M741" s="682"/>
      <c r="N741" s="116"/>
      <c r="O741" s="116"/>
    </row>
    <row r="742" spans="1:15" ht="12.75" customHeight="1" thickBot="1" x14ac:dyDescent="0.3">
      <c r="A742" s="116"/>
      <c r="B742" s="390" t="s">
        <v>22</v>
      </c>
      <c r="C742" s="14"/>
      <c r="D742" s="51"/>
      <c r="E742" s="55"/>
      <c r="F742" s="51"/>
      <c r="G742" s="5"/>
      <c r="H742" s="51">
        <f>F740*F741</f>
        <v>46.800000000000004</v>
      </c>
      <c r="I742" s="55" t="s">
        <v>24</v>
      </c>
      <c r="J742" s="149"/>
      <c r="K742" s="146"/>
      <c r="L742" s="145"/>
      <c r="M742" s="682"/>
      <c r="N742" s="116"/>
      <c r="O742" s="116"/>
    </row>
    <row r="743" spans="1:15" ht="12.75" customHeight="1" thickBot="1" x14ac:dyDescent="0.3">
      <c r="A743" s="116"/>
      <c r="B743" s="497" t="s">
        <v>378</v>
      </c>
      <c r="C743" s="498" t="s">
        <v>455</v>
      </c>
      <c r="D743" s="499"/>
      <c r="E743" s="500"/>
      <c r="F743" s="499"/>
      <c r="G743" s="499"/>
      <c r="H743" s="500">
        <f>SUM(H736:H742)</f>
        <v>159.60000000000002</v>
      </c>
      <c r="I743" s="501" t="s">
        <v>24</v>
      </c>
      <c r="J743" s="149"/>
      <c r="K743" s="146"/>
      <c r="L743" s="145"/>
      <c r="M743" s="682"/>
      <c r="N743" s="116"/>
      <c r="O743" s="116"/>
    </row>
    <row r="744" spans="1:15" ht="12.75" customHeight="1" x14ac:dyDescent="0.25">
      <c r="A744" s="116"/>
      <c r="B744" s="449"/>
      <c r="C744" s="237"/>
      <c r="D744" s="450"/>
      <c r="E744" s="451"/>
      <c r="F744" s="450"/>
      <c r="G744" s="450"/>
      <c r="H744" s="451"/>
      <c r="I744" s="450"/>
      <c r="J744" s="51"/>
      <c r="K744" s="146"/>
      <c r="L744" s="145"/>
      <c r="M744" s="682"/>
      <c r="N744" s="116"/>
      <c r="O744" s="116"/>
    </row>
    <row r="745" spans="1:15" ht="12.75" customHeight="1" x14ac:dyDescent="0.25">
      <c r="A745" s="116"/>
      <c r="B745" s="217" t="s">
        <v>379</v>
      </c>
      <c r="C745" s="503" t="s">
        <v>387</v>
      </c>
      <c r="D745" s="12"/>
      <c r="E745" s="13"/>
      <c r="F745" s="12"/>
      <c r="G745" s="12"/>
      <c r="H745" s="55"/>
      <c r="I745" s="51"/>
      <c r="J745" s="51"/>
      <c r="K745" s="146"/>
      <c r="L745" s="145"/>
      <c r="M745" s="682"/>
      <c r="N745" s="116"/>
      <c r="O745" s="116"/>
    </row>
    <row r="746" spans="1:15" ht="12.75" customHeight="1" x14ac:dyDescent="0.25">
      <c r="A746" s="116"/>
      <c r="B746" s="56" t="s">
        <v>291</v>
      </c>
      <c r="C746" s="14"/>
      <c r="D746" s="51"/>
      <c r="E746" s="55"/>
      <c r="F746" s="51"/>
      <c r="G746" s="51"/>
      <c r="H746" s="55"/>
      <c r="I746" s="51"/>
      <c r="J746" s="51"/>
      <c r="K746" s="146"/>
      <c r="L746" s="145"/>
      <c r="M746" s="682"/>
      <c r="N746" s="116"/>
      <c r="O746" s="116"/>
    </row>
    <row r="747" spans="1:15" ht="12.75" customHeight="1" x14ac:dyDescent="0.25">
      <c r="A747" s="116"/>
      <c r="B747" s="486" t="s">
        <v>144</v>
      </c>
      <c r="C747" s="5"/>
      <c r="D747" s="5"/>
      <c r="E747" s="14">
        <v>119</v>
      </c>
      <c r="F747" s="51" t="s">
        <v>23</v>
      </c>
      <c r="G747" s="51"/>
      <c r="H747" s="55"/>
      <c r="I747" s="51"/>
      <c r="J747" s="51"/>
      <c r="K747" s="146"/>
      <c r="L747" s="145"/>
      <c r="M747" s="682"/>
      <c r="N747" s="116"/>
      <c r="O747" s="116"/>
    </row>
    <row r="748" spans="1:15" ht="12.75" customHeight="1" x14ac:dyDescent="0.25">
      <c r="A748" s="116"/>
      <c r="B748" s="398" t="s">
        <v>187</v>
      </c>
      <c r="C748" s="120"/>
      <c r="D748" s="120"/>
      <c r="E748" s="17">
        <v>0.9</v>
      </c>
      <c r="F748" s="52" t="s">
        <v>7</v>
      </c>
      <c r="G748" s="52"/>
      <c r="H748" s="57"/>
      <c r="I748" s="51"/>
      <c r="J748" s="51"/>
      <c r="K748" s="146"/>
      <c r="L748" s="145"/>
      <c r="M748" s="682"/>
      <c r="N748" s="116"/>
      <c r="O748" s="116"/>
    </row>
    <row r="749" spans="1:15" ht="12.75" customHeight="1" x14ac:dyDescent="0.25">
      <c r="A749" s="116"/>
      <c r="B749" s="390" t="s">
        <v>22</v>
      </c>
      <c r="C749" s="14"/>
      <c r="D749" s="51"/>
      <c r="E749" s="55"/>
      <c r="F749" s="51"/>
      <c r="G749" s="51">
        <f>E747*E748</f>
        <v>107.10000000000001</v>
      </c>
      <c r="H749" s="55" t="s">
        <v>24</v>
      </c>
      <c r="I749" s="51"/>
      <c r="J749" s="51"/>
      <c r="K749" s="146"/>
      <c r="L749" s="145"/>
      <c r="M749" s="682"/>
      <c r="N749" s="116"/>
      <c r="O749" s="116"/>
    </row>
    <row r="750" spans="1:15" ht="12.75" customHeight="1" x14ac:dyDescent="0.25">
      <c r="A750" s="116"/>
      <c r="B750" s="56" t="s">
        <v>292</v>
      </c>
      <c r="C750" s="14"/>
      <c r="D750" s="51"/>
      <c r="E750" s="55"/>
      <c r="F750" s="51"/>
      <c r="G750" s="51"/>
      <c r="H750" s="55"/>
      <c r="I750" s="51"/>
      <c r="J750" s="51"/>
      <c r="K750" s="146"/>
      <c r="L750" s="145"/>
      <c r="M750" s="682"/>
      <c r="N750" s="116"/>
      <c r="O750" s="116"/>
    </row>
    <row r="751" spans="1:15" ht="12.75" customHeight="1" x14ac:dyDescent="0.25">
      <c r="A751" s="116"/>
      <c r="B751" s="486" t="s">
        <v>144</v>
      </c>
      <c r="C751" s="5"/>
      <c r="D751" s="5"/>
      <c r="E751" s="14">
        <v>28.5</v>
      </c>
      <c r="F751" s="51" t="s">
        <v>23</v>
      </c>
      <c r="G751" s="51"/>
      <c r="H751" s="55"/>
      <c r="I751" s="51"/>
      <c r="J751" s="51"/>
      <c r="K751" s="146"/>
      <c r="L751" s="145"/>
      <c r="M751" s="682"/>
      <c r="N751" s="116"/>
      <c r="O751" s="116"/>
    </row>
    <row r="752" spans="1:15" ht="12.75" customHeight="1" x14ac:dyDescent="0.25">
      <c r="A752" s="116"/>
      <c r="B752" s="398" t="s">
        <v>187</v>
      </c>
      <c r="C752" s="120"/>
      <c r="D752" s="120"/>
      <c r="E752" s="17">
        <v>1.65</v>
      </c>
      <c r="F752" s="52" t="s">
        <v>7</v>
      </c>
      <c r="G752" s="52"/>
      <c r="H752" s="57"/>
      <c r="I752" s="51"/>
      <c r="J752" s="51"/>
      <c r="K752" s="146"/>
      <c r="L752" s="145"/>
      <c r="M752" s="682"/>
      <c r="N752" s="116"/>
      <c r="O752" s="116"/>
    </row>
    <row r="753" spans="1:15" ht="12.75" customHeight="1" x14ac:dyDescent="0.25">
      <c r="A753" s="116"/>
      <c r="B753" s="390" t="s">
        <v>22</v>
      </c>
      <c r="C753" s="14"/>
      <c r="D753" s="51"/>
      <c r="E753" s="55"/>
      <c r="F753" s="51"/>
      <c r="G753" s="51">
        <f>E751*E752</f>
        <v>47.024999999999999</v>
      </c>
      <c r="H753" s="55" t="s">
        <v>24</v>
      </c>
      <c r="I753" s="51"/>
      <c r="J753" s="51"/>
      <c r="K753" s="146"/>
      <c r="L753" s="145"/>
      <c r="M753" s="682"/>
      <c r="N753" s="116"/>
      <c r="O753" s="116"/>
    </row>
    <row r="754" spans="1:15" ht="12.75" customHeight="1" x14ac:dyDescent="0.25">
      <c r="A754" s="116"/>
      <c r="B754" s="205"/>
      <c r="C754" s="504"/>
      <c r="D754" s="51"/>
      <c r="E754" s="55"/>
      <c r="F754" s="51"/>
      <c r="G754" s="51"/>
      <c r="H754" s="55"/>
      <c r="I754" s="51"/>
      <c r="J754" s="51"/>
      <c r="K754" s="146"/>
      <c r="L754" s="145"/>
      <c r="M754" s="682"/>
      <c r="N754" s="116"/>
      <c r="O754" s="116"/>
    </row>
    <row r="755" spans="1:15" ht="12.75" customHeight="1" x14ac:dyDescent="0.25">
      <c r="A755" s="116"/>
      <c r="B755" s="56" t="s">
        <v>680</v>
      </c>
      <c r="C755" s="14"/>
      <c r="D755" s="51"/>
      <c r="E755" s="55"/>
      <c r="F755" s="51"/>
      <c r="G755" s="51"/>
      <c r="H755" s="55"/>
      <c r="I755" s="51"/>
      <c r="J755" s="51"/>
      <c r="K755" s="146"/>
      <c r="L755" s="145"/>
      <c r="M755" s="682"/>
      <c r="N755" s="116"/>
      <c r="O755" s="116"/>
    </row>
    <row r="756" spans="1:15" ht="12.75" customHeight="1" x14ac:dyDescent="0.25">
      <c r="A756" s="116"/>
      <c r="B756" s="486" t="s">
        <v>144</v>
      </c>
      <c r="C756" s="5"/>
      <c r="D756" s="5"/>
      <c r="E756" s="14">
        <v>30.5</v>
      </c>
      <c r="F756" s="51" t="s">
        <v>23</v>
      </c>
      <c r="G756" s="51"/>
      <c r="H756" s="55"/>
      <c r="I756" s="51"/>
      <c r="J756" s="51"/>
      <c r="K756" s="146"/>
      <c r="L756" s="145"/>
      <c r="M756" s="682"/>
      <c r="N756" s="116"/>
      <c r="O756" s="116"/>
    </row>
    <row r="757" spans="1:15" ht="12.75" customHeight="1" x14ac:dyDescent="0.25">
      <c r="A757" s="116"/>
      <c r="B757" s="398" t="s">
        <v>187</v>
      </c>
      <c r="C757" s="120"/>
      <c r="D757" s="120"/>
      <c r="E757" s="17">
        <v>1.35</v>
      </c>
      <c r="F757" s="52" t="s">
        <v>7</v>
      </c>
      <c r="G757" s="52"/>
      <c r="H757" s="57"/>
      <c r="I757" s="51"/>
      <c r="J757" s="51"/>
      <c r="K757" s="146"/>
      <c r="L757" s="145"/>
      <c r="M757" s="682"/>
      <c r="N757" s="116"/>
      <c r="O757" s="116"/>
    </row>
    <row r="758" spans="1:15" ht="12.75" customHeight="1" x14ac:dyDescent="0.25">
      <c r="A758" s="116"/>
      <c r="B758" s="390" t="s">
        <v>22</v>
      </c>
      <c r="C758" s="14"/>
      <c r="D758" s="51"/>
      <c r="E758" s="55"/>
      <c r="F758" s="51"/>
      <c r="G758" s="51">
        <f>E756*E757</f>
        <v>41.175000000000004</v>
      </c>
      <c r="H758" s="55" t="s">
        <v>24</v>
      </c>
      <c r="I758" s="51"/>
      <c r="J758" s="51"/>
      <c r="K758" s="146"/>
      <c r="L758" s="145"/>
      <c r="M758" s="682"/>
      <c r="N758" s="116"/>
      <c r="O758" s="116"/>
    </row>
    <row r="759" spans="1:15" ht="12.75" customHeight="1" x14ac:dyDescent="0.25">
      <c r="A759" s="116"/>
      <c r="B759" s="390"/>
      <c r="C759" s="14"/>
      <c r="D759" s="51"/>
      <c r="E759" s="55"/>
      <c r="F759" s="51"/>
      <c r="G759" s="51"/>
      <c r="H759" s="55"/>
      <c r="I759" s="51"/>
      <c r="J759" s="51"/>
      <c r="K759" s="439"/>
      <c r="L759" s="145"/>
      <c r="M759" s="682"/>
      <c r="N759" s="116"/>
      <c r="O759" s="116"/>
    </row>
    <row r="760" spans="1:15" ht="12.75" customHeight="1" x14ac:dyDescent="0.25">
      <c r="A760" s="116"/>
      <c r="B760" s="56" t="s">
        <v>681</v>
      </c>
      <c r="C760" s="14"/>
      <c r="D760" s="51"/>
      <c r="E760" s="55"/>
      <c r="F760" s="51"/>
      <c r="G760" s="51"/>
      <c r="H760" s="55"/>
      <c r="I760" s="51"/>
      <c r="J760" s="51"/>
      <c r="K760" s="439"/>
      <c r="L760" s="145"/>
      <c r="M760" s="682"/>
      <c r="N760" s="116"/>
      <c r="O760" s="116"/>
    </row>
    <row r="761" spans="1:15" ht="12.75" customHeight="1" x14ac:dyDescent="0.25">
      <c r="A761" s="116"/>
      <c r="B761" s="486" t="s">
        <v>144</v>
      </c>
      <c r="C761" s="5"/>
      <c r="D761" s="5"/>
      <c r="E761" s="14">
        <v>36.75</v>
      </c>
      <c r="F761" s="51" t="s">
        <v>23</v>
      </c>
      <c r="G761" s="51"/>
      <c r="H761" s="55"/>
      <c r="I761" s="51"/>
      <c r="J761" s="51"/>
      <c r="K761" s="439"/>
      <c r="L761" s="145"/>
      <c r="M761" s="682"/>
      <c r="N761" s="116"/>
      <c r="O761" s="116"/>
    </row>
    <row r="762" spans="1:15" ht="12.75" customHeight="1" x14ac:dyDescent="0.25">
      <c r="A762" s="116"/>
      <c r="B762" s="398" t="s">
        <v>187</v>
      </c>
      <c r="C762" s="120"/>
      <c r="D762" s="120"/>
      <c r="E762" s="17">
        <v>0.9</v>
      </c>
      <c r="F762" s="52" t="s">
        <v>7</v>
      </c>
      <c r="G762" s="52"/>
      <c r="H762" s="57"/>
      <c r="I762" s="51"/>
      <c r="J762" s="51"/>
      <c r="K762" s="439"/>
      <c r="L762" s="145"/>
      <c r="M762" s="682"/>
      <c r="N762" s="116"/>
      <c r="O762" s="116"/>
    </row>
    <row r="763" spans="1:15" ht="12.75" customHeight="1" x14ac:dyDescent="0.25">
      <c r="A763" s="116"/>
      <c r="B763" s="390" t="s">
        <v>22</v>
      </c>
      <c r="C763" s="14"/>
      <c r="D763" s="51"/>
      <c r="E763" s="55"/>
      <c r="F763" s="51"/>
      <c r="G763" s="51">
        <f>E761*E762</f>
        <v>33.075000000000003</v>
      </c>
      <c r="H763" s="55" t="s">
        <v>24</v>
      </c>
      <c r="I763" s="51"/>
      <c r="J763" s="51"/>
      <c r="K763" s="439"/>
      <c r="L763" s="145"/>
      <c r="M763" s="682"/>
      <c r="N763" s="116"/>
      <c r="O763" s="116"/>
    </row>
    <row r="764" spans="1:15" ht="12.75" customHeight="1" thickBot="1" x14ac:dyDescent="0.3">
      <c r="A764" s="116"/>
      <c r="B764" s="390"/>
      <c r="C764" s="14"/>
      <c r="D764" s="51"/>
      <c r="E764" s="55"/>
      <c r="F764" s="51"/>
      <c r="G764" s="51"/>
      <c r="H764" s="55"/>
      <c r="I764" s="51"/>
      <c r="J764" s="51"/>
      <c r="K764" s="146"/>
      <c r="L764" s="145"/>
      <c r="M764" s="682"/>
      <c r="N764" s="116"/>
      <c r="O764" s="116"/>
    </row>
    <row r="765" spans="1:15" ht="12.75" customHeight="1" thickBot="1" x14ac:dyDescent="0.3">
      <c r="A765" s="126"/>
      <c r="B765" s="505" t="s">
        <v>379</v>
      </c>
      <c r="C765" s="506" t="s">
        <v>734</v>
      </c>
      <c r="D765" s="507"/>
      <c r="E765" s="508"/>
      <c r="F765" s="507"/>
      <c r="G765" s="507">
        <f>SUM(G749:G764)</f>
        <v>228.375</v>
      </c>
      <c r="H765" s="509" t="s">
        <v>24</v>
      </c>
      <c r="I765" s="450"/>
      <c r="J765" s="450"/>
      <c r="K765" s="502"/>
      <c r="L765" s="145"/>
      <c r="M765" s="682"/>
      <c r="N765" s="116"/>
      <c r="O765" s="116"/>
    </row>
    <row r="766" spans="1:15" ht="12.75" customHeight="1" x14ac:dyDescent="0.25">
      <c r="A766" s="116"/>
      <c r="B766" s="205"/>
      <c r="C766" s="504"/>
      <c r="D766" s="51"/>
      <c r="E766" s="55"/>
      <c r="F766" s="51"/>
      <c r="G766" s="51"/>
      <c r="H766" s="55"/>
      <c r="I766" s="51"/>
      <c r="J766" s="51"/>
      <c r="K766" s="146"/>
      <c r="L766" s="145"/>
      <c r="M766" s="682"/>
      <c r="N766" s="116"/>
      <c r="O766" s="116"/>
    </row>
    <row r="767" spans="1:15" ht="12.75" customHeight="1" x14ac:dyDescent="0.25">
      <c r="A767" s="11"/>
      <c r="B767" s="10" t="s">
        <v>384</v>
      </c>
      <c r="C767" s="27" t="s">
        <v>105</v>
      </c>
      <c r="D767" s="12"/>
      <c r="E767" s="13"/>
      <c r="F767" s="12"/>
      <c r="G767" s="12"/>
      <c r="H767" s="55"/>
      <c r="I767" s="51"/>
      <c r="J767" s="51"/>
      <c r="K767" s="146"/>
      <c r="L767" s="145"/>
      <c r="M767" s="682"/>
      <c r="N767" s="116"/>
      <c r="O767" s="116"/>
    </row>
    <row r="768" spans="1:15" ht="12.75" customHeight="1" x14ac:dyDescent="0.25">
      <c r="A768" s="11"/>
      <c r="B768" s="390" t="s">
        <v>86</v>
      </c>
      <c r="C768" s="65"/>
      <c r="D768" s="51"/>
      <c r="E768" s="55"/>
      <c r="F768" s="51"/>
      <c r="G768" s="51"/>
      <c r="H768" s="55"/>
      <c r="I768" s="51"/>
      <c r="J768" s="149"/>
      <c r="K768" s="146"/>
      <c r="L768" s="145"/>
      <c r="M768" s="682"/>
      <c r="N768" s="116"/>
      <c r="O768" s="116"/>
    </row>
    <row r="769" spans="1:16" ht="12.75" customHeight="1" thickBot="1" x14ac:dyDescent="0.3">
      <c r="A769" s="11"/>
      <c r="B769" s="368" t="s">
        <v>301</v>
      </c>
      <c r="C769" s="11" t="s">
        <v>678</v>
      </c>
      <c r="D769" s="324"/>
      <c r="E769" s="285"/>
      <c r="F769" s="324"/>
      <c r="G769" s="324"/>
      <c r="H769" s="55"/>
      <c r="I769" s="51"/>
      <c r="J769" s="149"/>
      <c r="K769" s="146"/>
      <c r="L769" s="145"/>
      <c r="M769" s="682"/>
      <c r="N769" s="116"/>
      <c r="O769" s="116"/>
    </row>
    <row r="770" spans="1:16" ht="12.75" customHeight="1" thickBot="1" x14ac:dyDescent="0.3">
      <c r="A770" s="11"/>
      <c r="B770" s="684" t="s">
        <v>12</v>
      </c>
      <c r="C770" s="685"/>
      <c r="D770" s="688" t="s">
        <v>11</v>
      </c>
      <c r="E770" s="690" t="s">
        <v>161</v>
      </c>
      <c r="F770" s="690"/>
      <c r="G770" s="690"/>
      <c r="H770" s="55"/>
      <c r="I770" s="51"/>
      <c r="J770" s="149"/>
      <c r="K770" s="146"/>
      <c r="L770" s="145"/>
      <c r="M770" s="682"/>
      <c r="N770" s="116"/>
      <c r="O770" s="116"/>
      <c r="P770" s="123"/>
    </row>
    <row r="771" spans="1:16" ht="12.75" customHeight="1" thickBot="1" x14ac:dyDescent="0.3">
      <c r="A771" s="11"/>
      <c r="B771" s="686"/>
      <c r="C771" s="687"/>
      <c r="D771" s="688"/>
      <c r="E771" s="698" t="s">
        <v>456</v>
      </c>
      <c r="F771" s="699"/>
      <c r="G771" s="700"/>
      <c r="H771" s="55"/>
      <c r="I771" s="51"/>
      <c r="J771" s="149"/>
      <c r="K771" s="146"/>
      <c r="L771" s="145"/>
      <c r="M771" s="682"/>
      <c r="N771" s="116"/>
      <c r="O771" s="116"/>
    </row>
    <row r="772" spans="1:16" ht="65.25" customHeight="1" thickBot="1" x14ac:dyDescent="0.3">
      <c r="A772" s="11"/>
      <c r="B772" s="238" t="s">
        <v>9</v>
      </c>
      <c r="C772" s="239" t="s">
        <v>10</v>
      </c>
      <c r="D772" s="689"/>
      <c r="E772" s="240" t="s">
        <v>13</v>
      </c>
      <c r="F772" s="241" t="s">
        <v>14</v>
      </c>
      <c r="G772" s="240" t="s">
        <v>15</v>
      </c>
      <c r="H772" s="55"/>
      <c r="I772" s="51"/>
      <c r="J772" s="149"/>
      <c r="K772" s="146"/>
      <c r="L772" s="145"/>
      <c r="M772" s="682"/>
      <c r="N772" s="116"/>
      <c r="O772" s="116"/>
    </row>
    <row r="773" spans="1:16" ht="12.75" customHeight="1" thickBot="1" x14ac:dyDescent="0.3">
      <c r="A773" s="11"/>
      <c r="B773" s="242"/>
      <c r="C773" s="243" t="s">
        <v>8</v>
      </c>
      <c r="D773" s="238" t="s">
        <v>7</v>
      </c>
      <c r="E773" s="244" t="s">
        <v>565</v>
      </c>
      <c r="F773" s="245" t="s">
        <v>565</v>
      </c>
      <c r="G773" s="244" t="s">
        <v>566</v>
      </c>
      <c r="H773" s="55"/>
      <c r="I773" s="51"/>
      <c r="J773" s="149"/>
      <c r="K773" s="146"/>
      <c r="L773" s="145"/>
      <c r="M773" s="682"/>
      <c r="N773" s="116"/>
      <c r="O773" s="116"/>
    </row>
    <row r="774" spans="1:16" ht="12.75" customHeight="1" x14ac:dyDescent="0.25">
      <c r="A774" s="11"/>
      <c r="B774" s="491"/>
      <c r="C774" s="492"/>
      <c r="D774" s="440"/>
      <c r="E774" s="493"/>
      <c r="F774" s="284"/>
      <c r="G774" s="494"/>
      <c r="H774" s="55"/>
      <c r="I774" s="51"/>
      <c r="J774" s="149"/>
      <c r="K774" s="146"/>
      <c r="L774" s="145"/>
      <c r="M774" s="682"/>
      <c r="N774" s="116"/>
      <c r="O774" s="116"/>
    </row>
    <row r="775" spans="1:16" ht="12.75" customHeight="1" x14ac:dyDescent="0.25">
      <c r="A775" s="11"/>
      <c r="B775" s="702" t="s">
        <v>123</v>
      </c>
      <c r="C775" s="692">
        <v>5.289E-2</v>
      </c>
      <c r="D775" s="697">
        <f>(C777-C775)*1000</f>
        <v>10.000000000000002</v>
      </c>
      <c r="E775" s="683">
        <v>3.8</v>
      </c>
      <c r="F775" s="435"/>
      <c r="G775" s="436"/>
      <c r="H775" s="55"/>
      <c r="I775" s="51"/>
      <c r="J775" s="149"/>
      <c r="K775" s="146"/>
      <c r="L775" s="145"/>
      <c r="M775" s="682"/>
      <c r="N775" s="116"/>
      <c r="O775" s="116"/>
    </row>
    <row r="776" spans="1:16" ht="12.75" customHeight="1" x14ac:dyDescent="0.25">
      <c r="A776" s="11"/>
      <c r="B776" s="702"/>
      <c r="C776" s="692"/>
      <c r="D776" s="707"/>
      <c r="E776" s="683"/>
      <c r="F776" s="683">
        <f>(E775+E777)/2</f>
        <v>3.8</v>
      </c>
      <c r="G776" s="710">
        <f>F776*D775</f>
        <v>38.000000000000007</v>
      </c>
      <c r="H776" s="55"/>
      <c r="I776" s="51"/>
      <c r="J776" s="149"/>
      <c r="K776" s="146"/>
      <c r="L776" s="145"/>
      <c r="M776" s="682"/>
      <c r="N776" s="116"/>
      <c r="O776" s="116"/>
    </row>
    <row r="777" spans="1:16" ht="12.75" customHeight="1" x14ac:dyDescent="0.25">
      <c r="A777" s="11"/>
      <c r="B777" s="702" t="s">
        <v>124</v>
      </c>
      <c r="C777" s="692">
        <v>6.2890000000000001E-2</v>
      </c>
      <c r="D777" s="704"/>
      <c r="E777" s="683">
        <v>3.8</v>
      </c>
      <c r="F777" s="683"/>
      <c r="G777" s="710"/>
      <c r="H777" s="55"/>
      <c r="I777" s="51"/>
      <c r="J777" s="149"/>
      <c r="K777" s="146"/>
      <c r="L777" s="145"/>
      <c r="M777" s="682"/>
      <c r="N777" s="116"/>
      <c r="O777" s="116"/>
    </row>
    <row r="778" spans="1:16" ht="12.75" customHeight="1" x14ac:dyDescent="0.25">
      <c r="A778" s="11"/>
      <c r="B778" s="702"/>
      <c r="C778" s="692"/>
      <c r="D778" s="683">
        <f>(C779-C777)*1000</f>
        <v>5.8099999999999961</v>
      </c>
      <c r="E778" s="683"/>
      <c r="F778" s="683">
        <v>4.5</v>
      </c>
      <c r="G778" s="710">
        <f>F778*D778</f>
        <v>26.144999999999982</v>
      </c>
      <c r="H778" s="55"/>
      <c r="I778" s="51"/>
      <c r="J778" s="149"/>
      <c r="K778" s="146"/>
      <c r="L778" s="145"/>
      <c r="M778" s="682"/>
      <c r="N778" s="116"/>
      <c r="O778" s="116"/>
    </row>
    <row r="779" spans="1:16" ht="12.75" customHeight="1" x14ac:dyDescent="0.25">
      <c r="A779" s="11"/>
      <c r="B779" s="702" t="s">
        <v>125</v>
      </c>
      <c r="C779" s="692">
        <v>6.8699999999999997E-2</v>
      </c>
      <c r="D779" s="683"/>
      <c r="E779" s="683">
        <v>3.8</v>
      </c>
      <c r="F779" s="683"/>
      <c r="G779" s="710"/>
      <c r="H779" s="55"/>
      <c r="I779" s="51"/>
      <c r="J779" s="149"/>
      <c r="K779" s="146"/>
      <c r="L779" s="145"/>
      <c r="M779" s="682"/>
      <c r="N779" s="116"/>
      <c r="O779" s="116"/>
    </row>
    <row r="780" spans="1:16" ht="12.75" customHeight="1" x14ac:dyDescent="0.25">
      <c r="A780" s="11"/>
      <c r="B780" s="702"/>
      <c r="C780" s="692"/>
      <c r="D780" s="683"/>
      <c r="E780" s="683"/>
      <c r="F780" s="495"/>
      <c r="G780" s="496"/>
      <c r="H780" s="55"/>
      <c r="I780" s="51"/>
      <c r="J780" s="149"/>
      <c r="K780" s="146"/>
      <c r="L780" s="145"/>
      <c r="M780" s="682"/>
      <c r="N780" s="116"/>
      <c r="O780" s="116"/>
    </row>
    <row r="781" spans="1:16" ht="12.75" customHeight="1" thickBot="1" x14ac:dyDescent="0.3">
      <c r="A781" s="11"/>
      <c r="B781" s="304"/>
      <c r="C781" s="437"/>
      <c r="D781" s="745"/>
      <c r="E781" s="438"/>
      <c r="F781" s="388"/>
      <c r="G781" s="389"/>
      <c r="H781" s="55"/>
      <c r="I781" s="51"/>
      <c r="J781" s="149"/>
      <c r="K781" s="146"/>
      <c r="L781" s="145"/>
      <c r="M781" s="682"/>
      <c r="N781" s="116"/>
      <c r="O781" s="116"/>
    </row>
    <row r="782" spans="1:16" ht="12.75" customHeight="1" thickBot="1" x14ac:dyDescent="0.3">
      <c r="A782" s="11"/>
      <c r="B782" s="263" t="s">
        <v>179</v>
      </c>
      <c r="C782" s="264"/>
      <c r="D782" s="6"/>
      <c r="E782" s="7"/>
      <c r="F782" s="6"/>
      <c r="G782" s="334">
        <f>SUM(G775:G779)</f>
        <v>64.144999999999982</v>
      </c>
      <c r="H782" s="55" t="s">
        <v>24</v>
      </c>
      <c r="I782" s="51"/>
      <c r="J782" s="149"/>
      <c r="K782" s="146"/>
      <c r="L782" s="145"/>
      <c r="M782" s="682"/>
      <c r="N782" s="116"/>
      <c r="O782" s="116"/>
    </row>
    <row r="783" spans="1:16" ht="12.75" customHeight="1" x14ac:dyDescent="0.25">
      <c r="A783" s="11"/>
      <c r="B783" s="390" t="s">
        <v>31</v>
      </c>
      <c r="C783" s="65" t="s">
        <v>679</v>
      </c>
      <c r="D783" s="51"/>
      <c r="E783" s="55"/>
      <c r="F783" s="51"/>
      <c r="G783" s="281">
        <f>64/0.6</f>
        <v>106.66666666666667</v>
      </c>
      <c r="H783" s="55" t="s">
        <v>23</v>
      </c>
      <c r="I783" s="51"/>
      <c r="J783" s="149"/>
      <c r="K783" s="146"/>
      <c r="L783" s="145"/>
      <c r="M783" s="682"/>
      <c r="N783" s="116"/>
      <c r="O783" s="116"/>
    </row>
    <row r="784" spans="1:16" ht="12.75" customHeight="1" x14ac:dyDescent="0.25">
      <c r="A784" s="116"/>
      <c r="B784" s="176"/>
      <c r="C784" s="180"/>
      <c r="D784" s="149"/>
      <c r="E784" s="150"/>
      <c r="F784" s="149"/>
      <c r="G784" s="149"/>
      <c r="H784" s="150"/>
      <c r="I784" s="149"/>
      <c r="J784" s="149"/>
      <c r="K784" s="146"/>
      <c r="L784" s="145"/>
      <c r="M784" s="682"/>
      <c r="N784" s="116"/>
      <c r="O784" s="116"/>
    </row>
    <row r="785" spans="1:15" ht="12.75" customHeight="1" x14ac:dyDescent="0.25">
      <c r="A785" s="116"/>
      <c r="B785" s="10" t="s">
        <v>385</v>
      </c>
      <c r="C785" s="27" t="s">
        <v>106</v>
      </c>
      <c r="D785" s="12"/>
      <c r="E785" s="13"/>
      <c r="F785" s="12"/>
      <c r="G785" s="12"/>
      <c r="H785" s="55"/>
      <c r="I785" s="149"/>
      <c r="J785" s="145"/>
      <c r="K785" s="146"/>
      <c r="L785" s="145"/>
      <c r="M785" s="682"/>
      <c r="N785" s="116"/>
      <c r="O785" s="116"/>
    </row>
    <row r="786" spans="1:15" ht="12.75" customHeight="1" x14ac:dyDescent="0.25">
      <c r="A786" s="116"/>
      <c r="B786" s="56" t="s">
        <v>300</v>
      </c>
      <c r="C786" s="65"/>
      <c r="D786" s="51"/>
      <c r="E786" s="55"/>
      <c r="F786" s="51"/>
      <c r="G786" s="51"/>
      <c r="H786" s="55"/>
      <c r="I786" s="149"/>
      <c r="J786" s="145"/>
      <c r="K786" s="146"/>
      <c r="L786" s="145"/>
      <c r="M786" s="682"/>
      <c r="N786" s="116"/>
      <c r="O786" s="116"/>
    </row>
    <row r="787" spans="1:15" ht="12.75" customHeight="1" x14ac:dyDescent="0.25">
      <c r="A787" s="116"/>
      <c r="B787" s="390" t="s">
        <v>31</v>
      </c>
      <c r="C787" s="65" t="s">
        <v>176</v>
      </c>
      <c r="D787" s="51"/>
      <c r="E787" s="55">
        <v>60</v>
      </c>
      <c r="F787" s="51" t="s">
        <v>23</v>
      </c>
      <c r="G787" s="51"/>
      <c r="H787" s="55"/>
      <c r="I787" s="149"/>
      <c r="J787" s="145"/>
      <c r="K787" s="146"/>
      <c r="L787" s="145"/>
      <c r="M787" s="682"/>
      <c r="N787" s="116"/>
      <c r="O787" s="116"/>
    </row>
    <row r="788" spans="1:15" ht="12.75" customHeight="1" x14ac:dyDescent="0.25">
      <c r="A788" s="116"/>
      <c r="B788" s="398" t="s">
        <v>187</v>
      </c>
      <c r="C788" s="431"/>
      <c r="D788" s="52">
        <v>0.6</v>
      </c>
      <c r="E788" s="57" t="s">
        <v>7</v>
      </c>
      <c r="F788" s="52"/>
      <c r="G788" s="52"/>
      <c r="H788" s="57"/>
      <c r="I788" s="149"/>
      <c r="J788" s="145"/>
      <c r="K788" s="146"/>
      <c r="L788" s="145"/>
      <c r="M788" s="682"/>
      <c r="N788" s="116"/>
      <c r="O788" s="116"/>
    </row>
    <row r="789" spans="1:15" ht="12.75" customHeight="1" x14ac:dyDescent="0.25">
      <c r="A789" s="116"/>
      <c r="B789" s="390" t="s">
        <v>22</v>
      </c>
      <c r="C789" s="65"/>
      <c r="D789" s="51"/>
      <c r="E789" s="55"/>
      <c r="F789" s="51">
        <f>E787*D788</f>
        <v>36</v>
      </c>
      <c r="G789" s="51" t="s">
        <v>24</v>
      </c>
      <c r="H789" s="55"/>
      <c r="I789" s="149"/>
      <c r="J789" s="145"/>
      <c r="K789" s="146"/>
      <c r="L789" s="145"/>
      <c r="M789" s="682"/>
      <c r="N789" s="116"/>
      <c r="O789" s="116"/>
    </row>
    <row r="790" spans="1:15" ht="12.75" customHeight="1" x14ac:dyDescent="0.25">
      <c r="A790" s="116"/>
      <c r="B790" s="390"/>
      <c r="C790" s="65"/>
      <c r="D790" s="51"/>
      <c r="E790" s="55"/>
      <c r="F790" s="51"/>
      <c r="G790" s="51"/>
      <c r="H790" s="55"/>
      <c r="I790" s="149"/>
      <c r="J790" s="145"/>
      <c r="K790" s="477"/>
      <c r="L790" s="145"/>
      <c r="M790" s="682"/>
      <c r="N790" s="116"/>
      <c r="O790" s="116"/>
    </row>
    <row r="791" spans="1:15" ht="12.75" customHeight="1" x14ac:dyDescent="0.25">
      <c r="A791" s="116"/>
      <c r="B791" s="56" t="s">
        <v>758</v>
      </c>
      <c r="C791" s="65"/>
      <c r="D791" s="51"/>
      <c r="E791" s="55"/>
      <c r="F791" s="51"/>
      <c r="G791" s="51"/>
      <c r="H791" s="150"/>
      <c r="I791" s="149"/>
      <c r="J791" s="145"/>
      <c r="K791" s="477"/>
      <c r="L791" s="145"/>
      <c r="M791" s="682"/>
      <c r="N791" s="116"/>
      <c r="O791" s="116"/>
    </row>
    <row r="792" spans="1:15" ht="12.75" customHeight="1" x14ac:dyDescent="0.25">
      <c r="A792" s="116"/>
      <c r="B792" s="56" t="s">
        <v>293</v>
      </c>
      <c r="C792" s="65"/>
      <c r="D792" s="51">
        <v>2.1</v>
      </c>
      <c r="E792" s="55" t="s">
        <v>23</v>
      </c>
      <c r="F792" s="51"/>
      <c r="G792" s="51"/>
      <c r="H792" s="150"/>
      <c r="I792" s="149"/>
      <c r="J792" s="145"/>
      <c r="K792" s="477"/>
      <c r="L792" s="145"/>
      <c r="M792" s="682"/>
      <c r="N792" s="116"/>
      <c r="O792" s="116"/>
    </row>
    <row r="793" spans="1:15" ht="12.75" customHeight="1" x14ac:dyDescent="0.25">
      <c r="A793" s="116"/>
      <c r="B793" s="56" t="s">
        <v>294</v>
      </c>
      <c r="C793" s="65"/>
      <c r="D793" s="51">
        <v>0.5</v>
      </c>
      <c r="E793" s="55" t="s">
        <v>23</v>
      </c>
      <c r="F793" s="51"/>
      <c r="G793" s="51"/>
      <c r="H793" s="150"/>
      <c r="I793" s="149"/>
      <c r="J793" s="145"/>
      <c r="K793" s="477"/>
      <c r="L793" s="145"/>
      <c r="M793" s="682"/>
      <c r="N793" s="116"/>
      <c r="O793" s="116"/>
    </row>
    <row r="794" spans="1:15" ht="12.75" customHeight="1" x14ac:dyDescent="0.25">
      <c r="A794" s="116"/>
      <c r="B794" s="398" t="s">
        <v>26</v>
      </c>
      <c r="C794" s="431"/>
      <c r="D794" s="52">
        <v>2.7</v>
      </c>
      <c r="E794" s="57" t="s">
        <v>23</v>
      </c>
      <c r="F794" s="52"/>
      <c r="G794" s="51"/>
      <c r="H794" s="150"/>
      <c r="I794" s="149"/>
      <c r="J794" s="145"/>
      <c r="K794" s="477"/>
      <c r="L794" s="145"/>
      <c r="M794" s="682"/>
      <c r="N794" s="116"/>
      <c r="O794" s="116"/>
    </row>
    <row r="795" spans="1:15" ht="12.75" customHeight="1" x14ac:dyDescent="0.25">
      <c r="A795" s="116"/>
      <c r="B795" s="390" t="s">
        <v>22</v>
      </c>
      <c r="C795" s="65" t="s">
        <v>665</v>
      </c>
      <c r="D795" s="51"/>
      <c r="E795" s="55"/>
      <c r="F795" s="51">
        <f>(D792+D793)/2*D794</f>
        <v>3.5100000000000002</v>
      </c>
      <c r="G795" s="51" t="s">
        <v>24</v>
      </c>
      <c r="H795" s="150"/>
      <c r="I795" s="149"/>
      <c r="J795" s="145"/>
      <c r="K795" s="477"/>
      <c r="L795" s="145"/>
      <c r="M795" s="682"/>
      <c r="N795" s="116"/>
      <c r="O795" s="116"/>
    </row>
    <row r="796" spans="1:15" ht="12.75" customHeight="1" x14ac:dyDescent="0.25">
      <c r="A796" s="116"/>
      <c r="B796" s="398" t="s">
        <v>626</v>
      </c>
      <c r="C796" s="431" t="s">
        <v>666</v>
      </c>
      <c r="D796" s="52"/>
      <c r="E796" s="57"/>
      <c r="F796" s="431">
        <f>1*0.5*1.2</f>
        <v>0.6</v>
      </c>
      <c r="G796" s="52" t="s">
        <v>24</v>
      </c>
      <c r="H796" s="150"/>
      <c r="I796" s="149"/>
      <c r="J796" s="145"/>
      <c r="K796" s="477"/>
      <c r="L796" s="145"/>
      <c r="M796" s="682"/>
      <c r="N796" s="116"/>
      <c r="O796" s="116"/>
    </row>
    <row r="797" spans="1:15" ht="12.75" customHeight="1" x14ac:dyDescent="0.25">
      <c r="A797" s="116"/>
      <c r="B797" s="390" t="s">
        <v>59</v>
      </c>
      <c r="C797" s="65"/>
      <c r="D797" s="51"/>
      <c r="E797" s="55"/>
      <c r="F797" s="51">
        <f>SUM(F795:F796)</f>
        <v>4.1100000000000003</v>
      </c>
      <c r="G797" s="51" t="s">
        <v>24</v>
      </c>
      <c r="H797" s="55"/>
      <c r="I797" s="149"/>
      <c r="J797" s="145"/>
      <c r="K797" s="477"/>
      <c r="L797" s="145"/>
      <c r="M797" s="682"/>
      <c r="N797" s="116"/>
      <c r="O797" s="116"/>
    </row>
    <row r="798" spans="1:15" ht="12.75" customHeight="1" x14ac:dyDescent="0.25">
      <c r="A798" s="116"/>
      <c r="B798" s="398" t="s">
        <v>31</v>
      </c>
      <c r="C798" s="431" t="s">
        <v>736</v>
      </c>
      <c r="D798" s="52"/>
      <c r="E798" s="57"/>
      <c r="F798" s="52"/>
      <c r="G798" s="431">
        <f>(3+1)/2*3</f>
        <v>6</v>
      </c>
      <c r="H798" s="57" t="s">
        <v>23</v>
      </c>
      <c r="I798" s="149"/>
      <c r="J798" s="145"/>
      <c r="K798" s="477"/>
      <c r="L798" s="145"/>
      <c r="M798" s="682"/>
      <c r="N798" s="116"/>
      <c r="O798" s="116"/>
    </row>
    <row r="799" spans="1:15" ht="12.75" customHeight="1" x14ac:dyDescent="0.25">
      <c r="A799" s="116"/>
      <c r="B799" s="390" t="s">
        <v>59</v>
      </c>
      <c r="C799" s="65"/>
      <c r="D799" s="51"/>
      <c r="E799" s="55"/>
      <c r="F799" s="51"/>
      <c r="G799" s="51"/>
      <c r="H799" s="55"/>
      <c r="I799" s="149"/>
      <c r="J799" s="145"/>
      <c r="K799" s="477"/>
      <c r="L799" s="145"/>
      <c r="M799" s="682"/>
      <c r="N799" s="116"/>
      <c r="O799" s="116"/>
    </row>
    <row r="800" spans="1:15" ht="12.75" customHeight="1" x14ac:dyDescent="0.25">
      <c r="A800" s="116"/>
      <c r="B800" s="486" t="s">
        <v>106</v>
      </c>
      <c r="C800" s="65"/>
      <c r="D800" s="51"/>
      <c r="E800" s="55"/>
      <c r="F800" s="51"/>
      <c r="G800" s="51"/>
      <c r="H800" s="55"/>
      <c r="I800" s="149"/>
      <c r="J800" s="145"/>
      <c r="K800" s="477"/>
      <c r="L800" s="145"/>
      <c r="M800" s="682"/>
      <c r="N800" s="116"/>
      <c r="O800" s="116"/>
    </row>
    <row r="801" spans="1:15" ht="12.75" customHeight="1" x14ac:dyDescent="0.25">
      <c r="A801" s="116"/>
      <c r="B801" s="486" t="s">
        <v>22</v>
      </c>
      <c r="C801" s="65" t="s">
        <v>86</v>
      </c>
      <c r="D801" s="51"/>
      <c r="E801" s="55">
        <f>F789</f>
        <v>36</v>
      </c>
      <c r="F801" s="51" t="s">
        <v>24</v>
      </c>
      <c r="G801" s="51"/>
      <c r="H801" s="55"/>
      <c r="I801" s="149"/>
      <c r="J801" s="145"/>
      <c r="K801" s="477"/>
      <c r="L801" s="145"/>
      <c r="M801" s="682"/>
      <c r="N801" s="116"/>
      <c r="O801" s="116"/>
    </row>
    <row r="802" spans="1:15" ht="12.75" customHeight="1" x14ac:dyDescent="0.25">
      <c r="A802" s="116"/>
      <c r="B802" s="487"/>
      <c r="C802" s="431" t="s">
        <v>738</v>
      </c>
      <c r="D802" s="52"/>
      <c r="E802" s="57">
        <f>F797</f>
        <v>4.1100000000000003</v>
      </c>
      <c r="F802" s="52" t="s">
        <v>24</v>
      </c>
      <c r="G802" s="52"/>
      <c r="H802" s="55"/>
      <c r="I802" s="149"/>
      <c r="J802" s="145"/>
      <c r="K802" s="477"/>
      <c r="L802" s="145"/>
      <c r="M802" s="682"/>
      <c r="N802" s="116"/>
      <c r="O802" s="116"/>
    </row>
    <row r="803" spans="1:15" ht="12.75" customHeight="1" x14ac:dyDescent="0.25">
      <c r="A803" s="116"/>
      <c r="B803" s="486" t="s">
        <v>737</v>
      </c>
      <c r="C803" s="65"/>
      <c r="D803" s="51"/>
      <c r="E803" s="55">
        <f>SUM(E801:E802)</f>
        <v>40.11</v>
      </c>
      <c r="F803" s="51" t="s">
        <v>24</v>
      </c>
      <c r="G803" s="51"/>
      <c r="H803" s="55"/>
      <c r="I803" s="149"/>
      <c r="J803" s="145"/>
      <c r="K803" s="477"/>
      <c r="L803" s="145"/>
      <c r="M803" s="682"/>
      <c r="N803" s="116"/>
      <c r="O803" s="116"/>
    </row>
    <row r="804" spans="1:15" ht="12.75" customHeight="1" x14ac:dyDescent="0.25">
      <c r="A804" s="116"/>
      <c r="B804" s="486"/>
      <c r="C804" s="65"/>
      <c r="D804" s="51"/>
      <c r="E804" s="55"/>
      <c r="F804" s="51"/>
      <c r="G804" s="51"/>
      <c r="H804" s="55"/>
      <c r="I804" s="149"/>
      <c r="J804" s="145"/>
      <c r="K804" s="477"/>
      <c r="L804" s="145"/>
      <c r="M804" s="682"/>
      <c r="N804" s="116"/>
      <c r="O804" s="116"/>
    </row>
    <row r="805" spans="1:15" ht="12.75" customHeight="1" x14ac:dyDescent="0.25">
      <c r="A805" s="116"/>
      <c r="B805" s="486" t="s">
        <v>31</v>
      </c>
      <c r="C805" s="65" t="s">
        <v>161</v>
      </c>
      <c r="D805" s="51"/>
      <c r="E805" s="55">
        <f>E787</f>
        <v>60</v>
      </c>
      <c r="F805" s="51" t="s">
        <v>23</v>
      </c>
      <c r="G805" s="51"/>
      <c r="H805" s="55"/>
      <c r="I805" s="149"/>
      <c r="J805" s="145"/>
      <c r="K805" s="477"/>
      <c r="L805" s="145"/>
      <c r="M805" s="682"/>
      <c r="N805" s="116"/>
      <c r="O805" s="116"/>
    </row>
    <row r="806" spans="1:15" ht="12.75" customHeight="1" x14ac:dyDescent="0.25">
      <c r="A806" s="116"/>
      <c r="B806" s="487"/>
      <c r="C806" s="431" t="s">
        <v>738</v>
      </c>
      <c r="D806" s="52"/>
      <c r="E806" s="57">
        <f>G798</f>
        <v>6</v>
      </c>
      <c r="F806" s="52" t="s">
        <v>23</v>
      </c>
      <c r="G806" s="52"/>
      <c r="H806" s="55"/>
      <c r="I806" s="149"/>
      <c r="J806" s="145"/>
      <c r="K806" s="477"/>
      <c r="L806" s="145"/>
      <c r="M806" s="682"/>
      <c r="N806" s="116"/>
      <c r="O806" s="116"/>
    </row>
    <row r="807" spans="1:15" ht="12.75" customHeight="1" x14ac:dyDescent="0.25">
      <c r="A807" s="116"/>
      <c r="B807" s="486" t="s">
        <v>737</v>
      </c>
      <c r="C807" s="65"/>
      <c r="D807" s="51"/>
      <c r="E807" s="55">
        <f>SUM(E805:E806)</f>
        <v>66</v>
      </c>
      <c r="F807" s="51" t="s">
        <v>23</v>
      </c>
      <c r="G807" s="51"/>
      <c r="H807" s="55"/>
      <c r="I807" s="149"/>
      <c r="J807" s="145"/>
      <c r="K807" s="477"/>
      <c r="L807" s="145"/>
      <c r="M807" s="682"/>
      <c r="N807" s="116"/>
      <c r="O807" s="116"/>
    </row>
    <row r="808" spans="1:15" ht="12.75" customHeight="1" x14ac:dyDescent="0.25">
      <c r="A808" s="116"/>
      <c r="B808" s="486"/>
      <c r="C808" s="65"/>
      <c r="D808" s="51"/>
      <c r="E808" s="55"/>
      <c r="F808" s="51"/>
      <c r="G808" s="51"/>
      <c r="H808" s="55"/>
      <c r="I808" s="149"/>
      <c r="J808" s="145"/>
      <c r="K808" s="477"/>
      <c r="L808" s="145"/>
      <c r="M808" s="682"/>
      <c r="N808" s="116"/>
      <c r="O808" s="116"/>
    </row>
    <row r="809" spans="1:15" ht="12.75" customHeight="1" x14ac:dyDescent="0.25">
      <c r="A809" s="116"/>
      <c r="B809" s="10" t="s">
        <v>107</v>
      </c>
      <c r="C809" s="27" t="s">
        <v>315</v>
      </c>
      <c r="D809" s="12"/>
      <c r="E809" s="13"/>
      <c r="F809" s="12"/>
      <c r="G809" s="12"/>
      <c r="H809" s="13"/>
      <c r="I809" s="149"/>
      <c r="J809" s="145"/>
      <c r="K809" s="146"/>
      <c r="L809" s="145"/>
      <c r="M809" s="682"/>
      <c r="N809" s="116"/>
      <c r="O809" s="116"/>
    </row>
    <row r="810" spans="1:15" ht="12.75" customHeight="1" x14ac:dyDescent="0.25">
      <c r="A810" s="116"/>
      <c r="B810" s="56" t="s">
        <v>304</v>
      </c>
      <c r="C810" s="65"/>
      <c r="D810" s="51"/>
      <c r="E810" s="55"/>
      <c r="F810" s="51"/>
      <c r="G810" s="51"/>
      <c r="H810" s="55"/>
      <c r="I810" s="149"/>
      <c r="J810" s="145"/>
      <c r="K810" s="146"/>
      <c r="L810" s="145"/>
      <c r="M810" s="682"/>
      <c r="N810" s="116"/>
      <c r="O810" s="116"/>
    </row>
    <row r="811" spans="1:15" ht="12.75" customHeight="1" x14ac:dyDescent="0.25">
      <c r="A811" s="116"/>
      <c r="B811" s="390"/>
      <c r="C811" s="65" t="s">
        <v>303</v>
      </c>
      <c r="D811" s="51"/>
      <c r="E811" s="55"/>
      <c r="F811" s="65">
        <f>151+158+30+445</f>
        <v>784</v>
      </c>
      <c r="G811" s="51" t="s">
        <v>23</v>
      </c>
      <c r="H811" s="55"/>
      <c r="I811" s="149"/>
      <c r="J811" s="145"/>
      <c r="K811" s="146"/>
      <c r="L811" s="145"/>
      <c r="M811" s="682"/>
      <c r="N811" s="116"/>
      <c r="O811" s="116"/>
    </row>
    <row r="812" spans="1:15" ht="12.75" customHeight="1" x14ac:dyDescent="0.25">
      <c r="A812" s="116"/>
      <c r="B812" s="399" t="s">
        <v>302</v>
      </c>
      <c r="C812" s="431"/>
      <c r="D812" s="52"/>
      <c r="E812" s="57"/>
      <c r="F812" s="52">
        <v>1575</v>
      </c>
      <c r="G812" s="52" t="s">
        <v>23</v>
      </c>
      <c r="H812" s="57"/>
      <c r="I812" s="149"/>
      <c r="J812" s="145"/>
      <c r="K812" s="146"/>
      <c r="L812" s="145"/>
      <c r="M812" s="682"/>
      <c r="N812" s="116"/>
      <c r="O812" s="116"/>
    </row>
    <row r="813" spans="1:15" ht="12.75" customHeight="1" x14ac:dyDescent="0.25">
      <c r="A813" s="116"/>
      <c r="B813" s="486" t="s">
        <v>305</v>
      </c>
      <c r="C813" s="65"/>
      <c r="D813" s="51"/>
      <c r="E813" s="55"/>
      <c r="F813" s="65">
        <f>SUM(F811:F812)</f>
        <v>2359</v>
      </c>
      <c r="G813" s="51" t="s">
        <v>23</v>
      </c>
      <c r="H813" s="55"/>
      <c r="I813" s="149"/>
      <c r="J813" s="145"/>
      <c r="K813" s="146"/>
      <c r="L813" s="145"/>
      <c r="M813" s="682"/>
      <c r="N813" s="116"/>
      <c r="O813" s="116"/>
    </row>
    <row r="814" spans="1:15" ht="12.75" customHeight="1" x14ac:dyDescent="0.25">
      <c r="A814" s="116"/>
      <c r="B814" s="390" t="s">
        <v>306</v>
      </c>
      <c r="C814" s="65" t="s">
        <v>307</v>
      </c>
      <c r="D814" s="51" t="s">
        <v>7</v>
      </c>
      <c r="E814" s="55"/>
      <c r="F814" s="51"/>
      <c r="G814" s="51"/>
      <c r="H814" s="55"/>
      <c r="I814" s="149"/>
      <c r="J814" s="145"/>
      <c r="K814" s="146"/>
      <c r="L814" s="145"/>
      <c r="M814" s="682"/>
      <c r="N814" s="116"/>
      <c r="O814" s="116"/>
    </row>
    <row r="815" spans="1:15" ht="12.75" customHeight="1" x14ac:dyDescent="0.25">
      <c r="A815" s="116"/>
      <c r="B815" s="390" t="s">
        <v>117</v>
      </c>
      <c r="C815" s="65"/>
      <c r="D815" s="51"/>
      <c r="E815" s="55"/>
      <c r="F815" s="281">
        <f>F813*0.32</f>
        <v>754.88</v>
      </c>
      <c r="G815" s="51" t="s">
        <v>24</v>
      </c>
      <c r="H815" s="55"/>
      <c r="I815" s="149"/>
      <c r="J815" s="145"/>
      <c r="K815" s="146"/>
      <c r="L815" s="145"/>
      <c r="M815" s="682"/>
      <c r="N815" s="116"/>
      <c r="O815" s="116"/>
    </row>
    <row r="816" spans="1:15" ht="12.75" customHeight="1" x14ac:dyDescent="0.25">
      <c r="A816" s="116"/>
      <c r="B816" s="176"/>
      <c r="C816" s="180"/>
      <c r="D816" s="149"/>
      <c r="E816" s="150"/>
      <c r="F816" s="149"/>
      <c r="G816" s="149"/>
      <c r="H816" s="150"/>
      <c r="I816" s="149"/>
      <c r="J816" s="145"/>
      <c r="K816" s="439"/>
      <c r="L816" s="145"/>
      <c r="M816" s="682"/>
      <c r="N816" s="116"/>
      <c r="O816" s="116"/>
    </row>
    <row r="817" spans="1:15" ht="12.75" customHeight="1" x14ac:dyDescent="0.25">
      <c r="A817" s="116"/>
      <c r="B817" s="10" t="s">
        <v>108</v>
      </c>
      <c r="C817" s="27" t="s">
        <v>668</v>
      </c>
      <c r="D817" s="12"/>
      <c r="E817" s="13"/>
      <c r="F817" s="12"/>
      <c r="G817" s="51"/>
      <c r="H817" s="55"/>
      <c r="I817" s="149"/>
      <c r="J817" s="145"/>
      <c r="K817" s="146"/>
      <c r="L817" s="145"/>
      <c r="M817" s="682"/>
      <c r="N817" s="116"/>
      <c r="O817" s="116"/>
    </row>
    <row r="818" spans="1:15" ht="12.75" customHeight="1" x14ac:dyDescent="0.25">
      <c r="A818" s="116"/>
      <c r="B818" s="390" t="s">
        <v>667</v>
      </c>
      <c r="C818" s="65" t="s">
        <v>669</v>
      </c>
      <c r="D818" s="51"/>
      <c r="E818" s="55"/>
      <c r="F818" s="51"/>
      <c r="G818" s="51"/>
      <c r="H818" s="55"/>
      <c r="I818" s="149"/>
      <c r="J818" s="145"/>
      <c r="K818" s="439"/>
      <c r="L818" s="145"/>
      <c r="M818" s="682"/>
      <c r="N818" s="116"/>
      <c r="O818" s="116"/>
    </row>
    <row r="819" spans="1:15" ht="12.75" customHeight="1" x14ac:dyDescent="0.25">
      <c r="A819" s="116"/>
      <c r="B819" s="486" t="s">
        <v>234</v>
      </c>
      <c r="C819" s="11"/>
      <c r="D819" s="11"/>
      <c r="E819" s="65">
        <v>2.7</v>
      </c>
      <c r="F819" s="51" t="s">
        <v>7</v>
      </c>
      <c r="G819" s="51"/>
      <c r="H819" s="55"/>
      <c r="I819" s="149"/>
      <c r="J819" s="145"/>
      <c r="K819" s="146"/>
      <c r="L819" s="145"/>
      <c r="N819" s="682"/>
      <c r="O819" s="116"/>
    </row>
    <row r="820" spans="1:15" ht="12.75" customHeight="1" x14ac:dyDescent="0.25">
      <c r="A820" s="116"/>
      <c r="B820" s="487" t="s">
        <v>196</v>
      </c>
      <c r="C820" s="120"/>
      <c r="D820" s="120"/>
      <c r="E820" s="431">
        <v>6.5</v>
      </c>
      <c r="F820" s="52" t="s">
        <v>7</v>
      </c>
      <c r="G820" s="52"/>
      <c r="H820" s="55"/>
      <c r="I820" s="149"/>
      <c r="J820" s="145"/>
      <c r="K820" s="146"/>
      <c r="L820" s="145"/>
      <c r="N820" s="682"/>
      <c r="O820" s="116"/>
    </row>
    <row r="821" spans="1:15" ht="12.75" customHeight="1" x14ac:dyDescent="0.25">
      <c r="A821" s="116"/>
      <c r="B821" s="486" t="s">
        <v>305</v>
      </c>
      <c r="C821" s="65"/>
      <c r="D821" s="51"/>
      <c r="E821" s="5"/>
      <c r="F821" s="55">
        <f>E819*E820</f>
        <v>17.55</v>
      </c>
      <c r="G821" s="51" t="s">
        <v>206</v>
      </c>
      <c r="H821" s="55"/>
      <c r="I821" s="149"/>
      <c r="J821" s="145"/>
      <c r="K821" s="146"/>
      <c r="L821" s="145"/>
      <c r="N821" s="682"/>
      <c r="O821" s="116"/>
    </row>
    <row r="822" spans="1:15" ht="12.75" customHeight="1" x14ac:dyDescent="0.25">
      <c r="A822" s="116"/>
      <c r="B822" s="486" t="s">
        <v>670</v>
      </c>
      <c r="C822" s="65" t="s">
        <v>759</v>
      </c>
      <c r="D822" s="51"/>
      <c r="E822" s="5"/>
      <c r="F822" s="55"/>
      <c r="G822" s="51"/>
      <c r="H822" s="55"/>
      <c r="I822" s="149"/>
      <c r="J822" s="145"/>
      <c r="K822" s="439"/>
      <c r="L822" s="145"/>
      <c r="N822" s="682"/>
      <c r="O822" s="116"/>
    </row>
    <row r="823" spans="1:15" ht="12.75" customHeight="1" x14ac:dyDescent="0.25">
      <c r="A823" s="116"/>
      <c r="B823" s="488" t="s">
        <v>552</v>
      </c>
      <c r="C823" s="51"/>
      <c r="D823" s="51"/>
      <c r="E823" s="420"/>
      <c r="F823" s="55"/>
      <c r="G823" s="51"/>
      <c r="H823" s="55"/>
      <c r="I823" s="149"/>
      <c r="J823" s="145"/>
      <c r="K823" s="439"/>
      <c r="L823" s="145"/>
      <c r="N823" s="682"/>
      <c r="O823" s="116"/>
    </row>
    <row r="824" spans="1:15" ht="12.75" customHeight="1" x14ac:dyDescent="0.25">
      <c r="A824" s="116"/>
      <c r="B824" s="488" t="s">
        <v>671</v>
      </c>
      <c r="C824" s="51"/>
      <c r="D824" s="51"/>
      <c r="E824" s="420"/>
      <c r="F824" s="55"/>
      <c r="G824" s="51"/>
      <c r="H824" s="55"/>
      <c r="I824" s="149"/>
      <c r="J824" s="145"/>
      <c r="K824" s="439"/>
      <c r="L824" s="145"/>
      <c r="N824" s="682"/>
      <c r="O824" s="116"/>
    </row>
    <row r="825" spans="1:15" ht="12.75" customHeight="1" x14ac:dyDescent="0.25">
      <c r="A825" s="116"/>
      <c r="B825" s="488" t="s">
        <v>672</v>
      </c>
      <c r="C825" s="51"/>
      <c r="D825" s="51"/>
      <c r="E825" s="420"/>
      <c r="F825" s="488">
        <f>2.5 *1.8</f>
        <v>4.5</v>
      </c>
      <c r="G825" s="51" t="s">
        <v>206</v>
      </c>
      <c r="H825" s="55"/>
      <c r="I825" s="149"/>
      <c r="J825" s="145"/>
      <c r="K825" s="439"/>
      <c r="L825" s="145"/>
      <c r="N825" s="682"/>
      <c r="O825" s="116"/>
    </row>
    <row r="826" spans="1:15" ht="12.75" customHeight="1" x14ac:dyDescent="0.25">
      <c r="A826" s="116"/>
      <c r="B826" s="488" t="s">
        <v>673</v>
      </c>
      <c r="C826" s="51"/>
      <c r="D826" s="51"/>
      <c r="E826" s="420"/>
      <c r="F826" s="55"/>
      <c r="G826" s="51"/>
      <c r="H826" s="55"/>
      <c r="I826" s="149"/>
      <c r="J826" s="145"/>
      <c r="K826" s="439"/>
      <c r="L826" s="145"/>
      <c r="M826" s="682"/>
      <c r="N826" s="116"/>
      <c r="O826" s="116"/>
    </row>
    <row r="827" spans="1:15" ht="12.75" customHeight="1" x14ac:dyDescent="0.25">
      <c r="A827" s="116"/>
      <c r="B827" s="489" t="s">
        <v>674</v>
      </c>
      <c r="C827" s="52"/>
      <c r="D827" s="52"/>
      <c r="E827" s="119"/>
      <c r="F827" s="489">
        <f>2.1*2*0.6</f>
        <v>2.52</v>
      </c>
      <c r="G827" s="52" t="s">
        <v>206</v>
      </c>
      <c r="H827" s="57"/>
      <c r="I827" s="149"/>
      <c r="J827" s="145"/>
      <c r="K827" s="439"/>
      <c r="L827" s="145"/>
      <c r="M827" s="682"/>
      <c r="N827" s="116"/>
      <c r="O827" s="116"/>
    </row>
    <row r="828" spans="1:15" ht="20.25" customHeight="1" x14ac:dyDescent="0.25">
      <c r="A828" s="116"/>
      <c r="B828" s="5" t="s">
        <v>675</v>
      </c>
      <c r="C828" s="5"/>
      <c r="D828" s="5"/>
      <c r="E828" s="5"/>
      <c r="F828" s="213">
        <f>SUM(F821:F827)</f>
        <v>24.57</v>
      </c>
      <c r="G828" s="5" t="s">
        <v>676</v>
      </c>
      <c r="H828" s="55"/>
      <c r="I828" s="149"/>
      <c r="J828" s="145"/>
      <c r="K828" s="439"/>
      <c r="L828" s="145"/>
      <c r="M828" s="682"/>
      <c r="N828" s="116"/>
      <c r="O828" s="116"/>
    </row>
    <row r="829" spans="1:15" ht="18" customHeight="1" x14ac:dyDescent="0.25">
      <c r="A829" s="116"/>
      <c r="B829" s="486" t="s">
        <v>22</v>
      </c>
      <c r="C829" s="65"/>
      <c r="D829" s="51"/>
      <c r="E829" s="5"/>
      <c r="F829" s="55">
        <f>F828*0.25</f>
        <v>6.1425000000000001</v>
      </c>
      <c r="G829" s="51" t="s">
        <v>677</v>
      </c>
      <c r="H829" s="55"/>
      <c r="I829" s="149"/>
      <c r="J829" s="145"/>
      <c r="K829" s="439"/>
      <c r="L829" s="145"/>
      <c r="M829" s="682"/>
      <c r="N829" s="116"/>
      <c r="O829" s="116"/>
    </row>
    <row r="830" spans="1:15" ht="12.75" customHeight="1" x14ac:dyDescent="0.25">
      <c r="A830" s="116"/>
      <c r="B830" s="486"/>
      <c r="C830" s="65"/>
      <c r="D830" s="51"/>
      <c r="E830" s="5"/>
      <c r="F830" s="55"/>
      <c r="G830" s="51"/>
      <c r="H830" s="55"/>
      <c r="I830" s="51"/>
      <c r="J830" s="145"/>
      <c r="K830" s="439"/>
      <c r="L830" s="145"/>
      <c r="M830" s="682"/>
      <c r="N830" s="116"/>
      <c r="O830" s="116"/>
    </row>
    <row r="831" spans="1:15" ht="12.75" customHeight="1" x14ac:dyDescent="0.25">
      <c r="A831" s="116"/>
      <c r="B831" s="490" t="s">
        <v>109</v>
      </c>
      <c r="C831" s="253" t="s">
        <v>733</v>
      </c>
      <c r="D831" s="10"/>
      <c r="E831" s="461"/>
      <c r="F831" s="12"/>
      <c r="G831" s="12"/>
      <c r="H831" s="55"/>
      <c r="I831" s="51"/>
      <c r="J831" s="145"/>
      <c r="K831" s="146"/>
      <c r="L831" s="145"/>
      <c r="M831" s="682"/>
      <c r="N831" s="116"/>
      <c r="O831" s="116"/>
    </row>
    <row r="832" spans="1:15" ht="12.75" customHeight="1" x14ac:dyDescent="0.25">
      <c r="A832" s="116"/>
      <c r="B832" s="56" t="s">
        <v>234</v>
      </c>
      <c r="C832" s="65">
        <v>5</v>
      </c>
      <c r="D832" s="51" t="s">
        <v>7</v>
      </c>
      <c r="E832" s="55"/>
      <c r="F832" s="51"/>
      <c r="G832" s="51"/>
      <c r="H832" s="55"/>
      <c r="I832" s="51"/>
      <c r="J832" s="145"/>
      <c r="K832" s="146"/>
      <c r="L832" s="145"/>
      <c r="M832" s="682"/>
      <c r="N832" s="116"/>
      <c r="O832" s="116"/>
    </row>
    <row r="833" spans="1:15" ht="12.75" customHeight="1" x14ac:dyDescent="0.25">
      <c r="A833" s="116"/>
      <c r="B833" s="487" t="s">
        <v>196</v>
      </c>
      <c r="C833" s="431">
        <v>6.5</v>
      </c>
      <c r="D833" s="52" t="s">
        <v>7</v>
      </c>
      <c r="E833" s="57"/>
      <c r="F833" s="52"/>
      <c r="G833" s="52"/>
      <c r="H833" s="55"/>
      <c r="I833" s="51"/>
      <c r="J833" s="145"/>
      <c r="K833" s="146"/>
      <c r="L833" s="145"/>
      <c r="M833" s="682"/>
      <c r="N833" s="116"/>
      <c r="O833" s="116"/>
    </row>
    <row r="834" spans="1:15" ht="12.75" customHeight="1" x14ac:dyDescent="0.25">
      <c r="A834" s="116"/>
      <c r="B834" s="486" t="s">
        <v>305</v>
      </c>
      <c r="C834" s="65"/>
      <c r="D834" s="51"/>
      <c r="E834" s="5"/>
      <c r="F834" s="5"/>
      <c r="G834" s="55">
        <f>C832*C833</f>
        <v>32.5</v>
      </c>
      <c r="H834" s="51" t="s">
        <v>23</v>
      </c>
      <c r="I834" s="51"/>
      <c r="J834" s="145"/>
      <c r="K834" s="146"/>
      <c r="L834" s="145"/>
      <c r="M834" s="682"/>
      <c r="N834" s="116"/>
      <c r="O834" s="116"/>
    </row>
    <row r="835" spans="1:15" ht="12.75" customHeight="1" x14ac:dyDescent="0.25">
      <c r="A835" s="116"/>
      <c r="B835" s="390" t="s">
        <v>22</v>
      </c>
      <c r="C835" s="65"/>
      <c r="D835" s="51"/>
      <c r="E835" s="5"/>
      <c r="F835" s="5"/>
      <c r="G835" s="55">
        <f>G834*0.17</f>
        <v>5.5250000000000004</v>
      </c>
      <c r="H835" s="51" t="s">
        <v>24</v>
      </c>
      <c r="I835" s="51"/>
      <c r="J835" s="145"/>
      <c r="K835" s="146"/>
      <c r="L835" s="145"/>
      <c r="M835" s="682"/>
      <c r="N835" s="116"/>
      <c r="O835" s="116"/>
    </row>
    <row r="836" spans="1:15" ht="12.75" customHeight="1" x14ac:dyDescent="0.25">
      <c r="A836" s="116"/>
      <c r="B836" s="176"/>
      <c r="C836" s="180"/>
      <c r="D836" s="149"/>
      <c r="F836" s="150"/>
      <c r="G836" s="149"/>
      <c r="H836" s="150"/>
      <c r="I836" s="149"/>
      <c r="J836" s="145"/>
      <c r="K836" s="166"/>
      <c r="L836" s="145"/>
      <c r="M836" s="682"/>
      <c r="N836" s="116"/>
      <c r="O836" s="116"/>
    </row>
    <row r="837" spans="1:15" ht="12.75" customHeight="1" x14ac:dyDescent="0.25">
      <c r="A837" s="116"/>
      <c r="B837" s="325" t="s">
        <v>367</v>
      </c>
      <c r="C837" s="27" t="s">
        <v>366</v>
      </c>
      <c r="D837" s="12"/>
      <c r="E837" s="55"/>
      <c r="F837" s="51"/>
      <c r="G837" s="149"/>
      <c r="H837" s="150"/>
      <c r="I837" s="149"/>
      <c r="J837" s="145"/>
      <c r="K837" s="146"/>
      <c r="L837" s="145"/>
      <c r="M837" s="682"/>
      <c r="N837" s="116"/>
      <c r="O837" s="116"/>
    </row>
    <row r="838" spans="1:15" ht="12.75" customHeight="1" x14ac:dyDescent="0.25">
      <c r="A838" s="116"/>
      <c r="B838" s="296"/>
      <c r="C838" s="253" t="s">
        <v>583</v>
      </c>
      <c r="D838" s="11"/>
      <c r="E838" s="292"/>
      <c r="F838" s="51"/>
      <c r="G838" s="51"/>
      <c r="H838" s="55"/>
      <c r="I838" s="51"/>
      <c r="J838" s="145"/>
      <c r="K838" s="146"/>
      <c r="L838" s="145"/>
      <c r="M838" s="682"/>
      <c r="N838" s="116"/>
      <c r="O838" s="116"/>
    </row>
    <row r="839" spans="1:15" ht="12.75" customHeight="1" x14ac:dyDescent="0.25">
      <c r="A839" s="116"/>
      <c r="B839" s="291" t="s">
        <v>372</v>
      </c>
      <c r="C839" s="11" t="s">
        <v>361</v>
      </c>
      <c r="D839" s="320"/>
      <c r="E839" s="292"/>
      <c r="F839" s="51"/>
      <c r="G839" s="51"/>
      <c r="H839" s="55"/>
      <c r="I839" s="51"/>
      <c r="J839" s="145"/>
      <c r="K839" s="146"/>
      <c r="L839" s="145"/>
      <c r="M839" s="682"/>
      <c r="N839" s="116"/>
      <c r="O839" s="116"/>
    </row>
    <row r="840" spans="1:15" ht="12.75" customHeight="1" x14ac:dyDescent="0.25">
      <c r="A840" s="116"/>
      <c r="B840" s="291"/>
      <c r="C840" s="11" t="s">
        <v>362</v>
      </c>
      <c r="D840" s="320"/>
      <c r="E840" s="5"/>
      <c r="F840" s="5"/>
      <c r="G840" s="5"/>
      <c r="H840" s="292">
        <v>40</v>
      </c>
      <c r="I840" s="51" t="s">
        <v>23</v>
      </c>
      <c r="J840" s="149"/>
      <c r="K840" s="146"/>
      <c r="L840" s="145"/>
      <c r="M840" s="682"/>
      <c r="N840" s="116"/>
      <c r="O840" s="116"/>
    </row>
    <row r="841" spans="1:15" ht="12.75" customHeight="1" x14ac:dyDescent="0.25">
      <c r="A841" s="116"/>
      <c r="B841" s="291"/>
      <c r="C841" s="120" t="s">
        <v>586</v>
      </c>
      <c r="D841" s="321"/>
      <c r="E841" s="293"/>
      <c r="F841" s="52"/>
      <c r="G841" s="52"/>
      <c r="H841" s="57">
        <f>3.5*52</f>
        <v>182</v>
      </c>
      <c r="I841" s="52" t="s">
        <v>23</v>
      </c>
      <c r="J841" s="145"/>
      <c r="K841" s="146"/>
      <c r="L841" s="145"/>
      <c r="M841" s="682"/>
      <c r="N841" s="116"/>
      <c r="O841" s="116"/>
    </row>
    <row r="842" spans="1:15" ht="12.75" customHeight="1" x14ac:dyDescent="0.25">
      <c r="A842" s="116"/>
      <c r="B842" s="291"/>
      <c r="C842" s="11" t="s">
        <v>59</v>
      </c>
      <c r="D842" s="320"/>
      <c r="E842" s="292"/>
      <c r="F842" s="51"/>
      <c r="G842" s="51"/>
      <c r="H842" s="55">
        <f>SUM(H840:H841)</f>
        <v>222</v>
      </c>
      <c r="I842" s="51" t="s">
        <v>23</v>
      </c>
      <c r="J842" s="145"/>
      <c r="K842" s="146"/>
      <c r="L842" s="145"/>
      <c r="M842" s="682"/>
      <c r="N842" s="116"/>
      <c r="O842" s="116"/>
    </row>
    <row r="843" spans="1:15" ht="12.75" customHeight="1" x14ac:dyDescent="0.25">
      <c r="A843" s="116"/>
      <c r="B843" s="291" t="s">
        <v>373</v>
      </c>
      <c r="C843" s="11" t="s">
        <v>436</v>
      </c>
      <c r="D843" s="320"/>
      <c r="E843" s="292"/>
      <c r="F843" s="51"/>
      <c r="G843" s="51"/>
      <c r="H843" s="55">
        <f>H847</f>
        <v>235.4</v>
      </c>
      <c r="I843" s="51"/>
      <c r="J843" s="145"/>
      <c r="K843" s="146"/>
      <c r="L843" s="145"/>
      <c r="M843" s="682"/>
      <c r="N843" s="116"/>
      <c r="O843" s="116"/>
    </row>
    <row r="844" spans="1:15" ht="12.75" customHeight="1" x14ac:dyDescent="0.25">
      <c r="A844" s="116"/>
      <c r="B844" s="291" t="s">
        <v>389</v>
      </c>
      <c r="C844" s="11" t="s">
        <v>457</v>
      </c>
      <c r="D844" s="320"/>
      <c r="E844" s="292"/>
      <c r="F844" s="51"/>
      <c r="G844" s="51"/>
      <c r="H844" s="55"/>
      <c r="I844" s="51"/>
      <c r="J844" s="145"/>
      <c r="K844" s="146"/>
      <c r="L844" s="145"/>
      <c r="M844" s="682"/>
      <c r="N844" s="116"/>
      <c r="O844" s="116"/>
    </row>
    <row r="845" spans="1:15" ht="12.75" customHeight="1" x14ac:dyDescent="0.25">
      <c r="A845" s="116"/>
      <c r="B845" s="291"/>
      <c r="C845" s="11" t="s">
        <v>363</v>
      </c>
      <c r="D845" s="320"/>
      <c r="E845" s="292"/>
      <c r="F845" s="51"/>
      <c r="G845" s="51"/>
      <c r="H845" s="55">
        <v>43</v>
      </c>
      <c r="I845" s="51" t="s">
        <v>23</v>
      </c>
      <c r="J845" s="145"/>
      <c r="K845" s="146"/>
      <c r="L845" s="145"/>
      <c r="M845" s="682"/>
      <c r="N845" s="116"/>
      <c r="O845" s="116"/>
    </row>
    <row r="846" spans="1:15" ht="12.75" customHeight="1" x14ac:dyDescent="0.25">
      <c r="A846" s="116"/>
      <c r="B846" s="291"/>
      <c r="C846" s="120" t="s">
        <v>585</v>
      </c>
      <c r="D846" s="321" t="s">
        <v>587</v>
      </c>
      <c r="E846" s="293"/>
      <c r="F846" s="52"/>
      <c r="G846" s="52"/>
      <c r="H846" s="57">
        <f>3.7*52</f>
        <v>192.4</v>
      </c>
      <c r="I846" s="52" t="s">
        <v>23</v>
      </c>
      <c r="J846" s="145"/>
      <c r="K846" s="146"/>
      <c r="L846" s="145"/>
      <c r="M846" s="682"/>
      <c r="N846" s="116"/>
      <c r="O846" s="116"/>
    </row>
    <row r="847" spans="1:15" ht="12.75" customHeight="1" x14ac:dyDescent="0.25">
      <c r="A847" s="116"/>
      <c r="B847" s="291"/>
      <c r="C847" s="11" t="s">
        <v>59</v>
      </c>
      <c r="D847" s="320"/>
      <c r="E847" s="292"/>
      <c r="F847" s="51"/>
      <c r="G847" s="51"/>
      <c r="H847" s="55">
        <f>SUM(H845:H846)</f>
        <v>235.4</v>
      </c>
      <c r="I847" s="51" t="s">
        <v>23</v>
      </c>
      <c r="J847" s="145"/>
      <c r="K847" s="146"/>
      <c r="L847" s="145"/>
      <c r="M847" s="682"/>
      <c r="N847" s="116"/>
      <c r="O847" s="116"/>
    </row>
    <row r="848" spans="1:15" ht="12.75" customHeight="1" x14ac:dyDescent="0.25">
      <c r="A848" s="116"/>
      <c r="B848" s="291" t="s">
        <v>390</v>
      </c>
      <c r="C848" s="11" t="s">
        <v>588</v>
      </c>
      <c r="D848" s="320"/>
      <c r="E848" s="292"/>
      <c r="F848" s="51"/>
      <c r="G848" s="51"/>
      <c r="H848" s="55">
        <f>H847</f>
        <v>235.4</v>
      </c>
      <c r="I848" s="51" t="s">
        <v>23</v>
      </c>
      <c r="J848" s="145"/>
      <c r="K848" s="146"/>
      <c r="L848" s="145"/>
      <c r="M848" s="682"/>
      <c r="N848" s="116"/>
      <c r="O848" s="116"/>
    </row>
    <row r="849" spans="1:15" ht="12.75" customHeight="1" x14ac:dyDescent="0.25">
      <c r="A849" s="116"/>
      <c r="B849" s="322" t="s">
        <v>391</v>
      </c>
      <c r="C849" s="11" t="s">
        <v>439</v>
      </c>
      <c r="D849" s="323"/>
      <c r="E849" s="292"/>
      <c r="F849" s="5"/>
      <c r="G849" s="5"/>
      <c r="H849" s="55"/>
      <c r="I849" s="51"/>
      <c r="J849" s="145"/>
      <c r="K849" s="146"/>
      <c r="L849" s="145"/>
      <c r="M849" s="682"/>
      <c r="N849" s="116"/>
      <c r="O849" s="116"/>
    </row>
    <row r="850" spans="1:15" ht="12.75" customHeight="1" x14ac:dyDescent="0.25">
      <c r="A850" s="116"/>
      <c r="B850" s="291"/>
      <c r="C850" s="11" t="s">
        <v>590</v>
      </c>
      <c r="D850" s="11"/>
      <c r="E850" s="292"/>
      <c r="F850" s="5"/>
      <c r="G850" s="5"/>
      <c r="H850" s="55">
        <f>47*0.2</f>
        <v>9.4</v>
      </c>
      <c r="I850" s="51" t="s">
        <v>24</v>
      </c>
      <c r="J850" s="145"/>
      <c r="K850" s="146"/>
      <c r="L850" s="145"/>
      <c r="M850" s="682"/>
      <c r="N850" s="116"/>
      <c r="O850" s="116"/>
    </row>
    <row r="851" spans="1:15" ht="12.75" customHeight="1" x14ac:dyDescent="0.25">
      <c r="A851" s="116"/>
      <c r="B851" s="291"/>
      <c r="C851" s="120" t="s">
        <v>589</v>
      </c>
      <c r="D851" s="120"/>
      <c r="E851" s="293"/>
      <c r="F851" s="52"/>
      <c r="G851" s="52"/>
      <c r="H851" s="57">
        <f>4.5*0.2*52</f>
        <v>46.800000000000004</v>
      </c>
      <c r="I851" s="52" t="s">
        <v>24</v>
      </c>
      <c r="J851" s="145"/>
      <c r="K851" s="146"/>
      <c r="L851" s="145"/>
      <c r="M851" s="682"/>
      <c r="N851" s="116"/>
      <c r="O851" s="116"/>
    </row>
    <row r="852" spans="1:15" ht="12.75" customHeight="1" x14ac:dyDescent="0.25">
      <c r="A852" s="116"/>
      <c r="B852" s="291"/>
      <c r="C852" s="11" t="s">
        <v>59</v>
      </c>
      <c r="D852" s="320"/>
      <c r="E852" s="292"/>
      <c r="F852" s="51"/>
      <c r="G852" s="51"/>
      <c r="H852" s="55">
        <f>SUM(H850:H851)</f>
        <v>56.2</v>
      </c>
      <c r="I852" s="51" t="s">
        <v>24</v>
      </c>
      <c r="J852" s="145"/>
      <c r="K852" s="146"/>
      <c r="L852" s="145"/>
      <c r="M852" s="682"/>
      <c r="N852" s="116"/>
      <c r="O852" s="116"/>
    </row>
    <row r="853" spans="1:15" ht="12.75" customHeight="1" x14ac:dyDescent="0.25">
      <c r="A853" s="116"/>
      <c r="B853" s="291" t="s">
        <v>374</v>
      </c>
      <c r="C853" s="11" t="s">
        <v>371</v>
      </c>
      <c r="D853" s="11"/>
      <c r="E853" s="292"/>
      <c r="F853" s="51"/>
      <c r="G853" s="51"/>
      <c r="H853" s="55"/>
      <c r="I853" s="51"/>
      <c r="J853" s="324"/>
      <c r="K853" s="146"/>
      <c r="L853" s="145"/>
      <c r="M853" s="682"/>
      <c r="N853" s="116"/>
      <c r="O853" s="116"/>
    </row>
    <row r="854" spans="1:15" ht="12.75" customHeight="1" x14ac:dyDescent="0.25">
      <c r="A854" s="116"/>
      <c r="B854" s="291"/>
      <c r="C854" s="5" t="s">
        <v>86</v>
      </c>
      <c r="D854" s="5"/>
      <c r="E854" s="5"/>
      <c r="F854" s="5"/>
      <c r="G854" s="5"/>
      <c r="H854" s="5"/>
      <c r="I854" s="5"/>
      <c r="J854" s="5"/>
      <c r="O854" s="116"/>
    </row>
    <row r="855" spans="1:15" ht="12.75" customHeight="1" x14ac:dyDescent="0.25">
      <c r="A855" s="116"/>
      <c r="B855" s="291"/>
      <c r="C855" s="84" t="s">
        <v>31</v>
      </c>
      <c r="D855" s="5"/>
      <c r="E855" s="5"/>
      <c r="F855" s="5"/>
      <c r="G855" s="5"/>
      <c r="H855" s="5"/>
      <c r="I855" s="5"/>
      <c r="J855" s="5"/>
      <c r="O855" s="116"/>
    </row>
    <row r="856" spans="1:15" ht="12.75" customHeight="1" x14ac:dyDescent="0.25">
      <c r="A856" s="116"/>
      <c r="B856" s="291" t="s">
        <v>392</v>
      </c>
      <c r="C856" s="5" t="s">
        <v>364</v>
      </c>
      <c r="D856" s="5"/>
      <c r="E856" s="5">
        <v>300</v>
      </c>
      <c r="F856" s="5" t="s">
        <v>335</v>
      </c>
      <c r="G856" s="5">
        <v>105</v>
      </c>
      <c r="H856" s="5" t="s">
        <v>23</v>
      </c>
      <c r="I856" s="5" t="s">
        <v>176</v>
      </c>
      <c r="J856" s="5"/>
      <c r="O856" s="116"/>
    </row>
    <row r="857" spans="1:15" ht="12.75" customHeight="1" x14ac:dyDescent="0.25">
      <c r="A857" s="116"/>
      <c r="B857" s="291" t="s">
        <v>393</v>
      </c>
      <c r="C857" s="5" t="s">
        <v>365</v>
      </c>
      <c r="D857" s="5"/>
      <c r="E857" s="120">
        <v>200</v>
      </c>
      <c r="F857" s="120" t="s">
        <v>335</v>
      </c>
      <c r="G857" s="5">
        <v>115</v>
      </c>
      <c r="H857" s="5" t="s">
        <v>23</v>
      </c>
      <c r="I857" s="5" t="s">
        <v>176</v>
      </c>
      <c r="J857" s="5"/>
      <c r="O857" s="116"/>
    </row>
    <row r="858" spans="1:15" ht="12.75" customHeight="1" x14ac:dyDescent="0.25">
      <c r="A858" s="116"/>
      <c r="B858" s="291"/>
      <c r="C858" s="5"/>
      <c r="D858" s="5"/>
      <c r="E858" s="5">
        <v>500</v>
      </c>
      <c r="F858" s="5" t="s">
        <v>335</v>
      </c>
      <c r="G858" s="5"/>
      <c r="H858" s="5"/>
      <c r="I858" s="5"/>
      <c r="J858" s="5"/>
      <c r="O858" s="116"/>
    </row>
    <row r="859" spans="1:15" ht="12.75" customHeight="1" x14ac:dyDescent="0.25">
      <c r="A859" s="116"/>
      <c r="B859" s="291"/>
      <c r="C859" s="5" t="s">
        <v>22</v>
      </c>
      <c r="D859" s="5"/>
      <c r="E859" s="5"/>
      <c r="F859" s="5"/>
      <c r="G859" s="5"/>
      <c r="H859" s="5"/>
      <c r="I859" s="5"/>
      <c r="J859" s="5"/>
      <c r="O859" s="116"/>
    </row>
    <row r="860" spans="1:15" ht="12.75" customHeight="1" x14ac:dyDescent="0.25">
      <c r="A860" s="116"/>
      <c r="B860" s="291"/>
      <c r="C860" s="5" t="s">
        <v>364</v>
      </c>
      <c r="D860" s="5"/>
      <c r="E860" s="5">
        <v>300</v>
      </c>
      <c r="F860" s="5" t="s">
        <v>335</v>
      </c>
      <c r="G860" s="5">
        <f>G856*E856/1000</f>
        <v>31.5</v>
      </c>
      <c r="H860" s="5" t="s">
        <v>24</v>
      </c>
      <c r="I860" s="5"/>
      <c r="J860" s="5"/>
      <c r="O860" s="116"/>
    </row>
    <row r="861" spans="1:15" ht="12.75" customHeight="1" x14ac:dyDescent="0.25">
      <c r="A861" s="116"/>
      <c r="B861" s="291"/>
      <c r="C861" s="5" t="s">
        <v>365</v>
      </c>
      <c r="D861" s="5"/>
      <c r="E861" s="120">
        <v>200</v>
      </c>
      <c r="F861" s="120" t="s">
        <v>335</v>
      </c>
      <c r="G861" s="5">
        <f>G857*E857/1000</f>
        <v>23</v>
      </c>
      <c r="H861" s="5" t="s">
        <v>24</v>
      </c>
      <c r="I861" s="5"/>
      <c r="J861" s="5"/>
      <c r="K861" s="146"/>
      <c r="L861" s="145"/>
      <c r="M861" s="682"/>
      <c r="N861" s="116"/>
      <c r="O861" s="116"/>
    </row>
    <row r="862" spans="1:15" ht="12.75" customHeight="1" x14ac:dyDescent="0.25">
      <c r="A862" s="116"/>
      <c r="B862" s="291"/>
      <c r="C862" s="5"/>
      <c r="D862" s="5"/>
      <c r="E862" s="5">
        <v>500</v>
      </c>
      <c r="F862" s="5" t="s">
        <v>335</v>
      </c>
      <c r="G862" s="5"/>
      <c r="H862" s="5"/>
      <c r="I862" s="5"/>
      <c r="J862" s="5"/>
      <c r="K862" s="146"/>
      <c r="L862" s="145"/>
      <c r="M862" s="682"/>
      <c r="N862" s="116"/>
      <c r="O862" s="116"/>
    </row>
    <row r="863" spans="1:15" ht="12.75" customHeight="1" x14ac:dyDescent="0.25">
      <c r="A863" s="116"/>
      <c r="B863" s="291"/>
      <c r="C863" s="5"/>
      <c r="D863" s="5"/>
      <c r="E863" s="5"/>
      <c r="F863" s="5"/>
      <c r="G863" s="5"/>
      <c r="H863" s="5"/>
      <c r="I863" s="5"/>
      <c r="J863" s="5"/>
      <c r="K863" s="146"/>
      <c r="L863" s="145"/>
      <c r="M863" s="682"/>
      <c r="N863" s="116"/>
      <c r="O863" s="116"/>
    </row>
    <row r="864" spans="1:15" ht="12.75" customHeight="1" x14ac:dyDescent="0.25">
      <c r="A864" s="116"/>
      <c r="B864" s="291" t="s">
        <v>394</v>
      </c>
      <c r="C864" s="5" t="s">
        <v>375</v>
      </c>
      <c r="D864" s="5"/>
      <c r="E864" s="5"/>
      <c r="K864" s="146"/>
      <c r="L864" s="145"/>
      <c r="M864" s="682"/>
      <c r="N864" s="116"/>
      <c r="O864" s="116"/>
    </row>
    <row r="865" spans="1:15" ht="12.75" customHeight="1" thickBot="1" x14ac:dyDescent="0.3">
      <c r="A865" s="116"/>
      <c r="B865" s="291"/>
      <c r="C865" s="5" t="s">
        <v>86</v>
      </c>
      <c r="D865" s="5"/>
      <c r="E865" s="5"/>
      <c r="F865" s="5"/>
      <c r="G865" s="5"/>
      <c r="H865" s="5"/>
      <c r="I865" s="5"/>
      <c r="J865" s="5"/>
      <c r="K865" s="146"/>
      <c r="L865" s="145"/>
      <c r="M865" s="682"/>
      <c r="N865" s="116"/>
      <c r="O865" s="116"/>
    </row>
    <row r="866" spans="1:15" ht="12.75" customHeight="1" x14ac:dyDescent="0.25">
      <c r="A866" s="116"/>
      <c r="B866" s="122"/>
      <c r="C866" s="762" t="s">
        <v>12</v>
      </c>
      <c r="D866" s="763"/>
      <c r="E866" s="766" t="s">
        <v>11</v>
      </c>
      <c r="F866" s="768" t="s">
        <v>375</v>
      </c>
      <c r="G866" s="768"/>
      <c r="H866" s="769"/>
      <c r="I866" s="5"/>
      <c r="J866" s="5"/>
      <c r="K866" s="146"/>
      <c r="L866" s="145"/>
      <c r="M866" s="682"/>
      <c r="N866" s="116"/>
      <c r="O866" s="116"/>
    </row>
    <row r="867" spans="1:15" ht="12.75" customHeight="1" x14ac:dyDescent="0.25">
      <c r="A867" s="116"/>
      <c r="B867" s="122"/>
      <c r="C867" s="764"/>
      <c r="D867" s="765"/>
      <c r="E867" s="767"/>
      <c r="F867" s="765" t="s">
        <v>375</v>
      </c>
      <c r="G867" s="765"/>
      <c r="H867" s="770"/>
      <c r="I867" s="5"/>
      <c r="J867" s="5"/>
      <c r="K867" s="146"/>
      <c r="L867" s="145"/>
      <c r="M867" s="682"/>
      <c r="N867" s="116"/>
    </row>
    <row r="868" spans="1:15" ht="33" customHeight="1" x14ac:dyDescent="0.25">
      <c r="A868" s="116"/>
      <c r="B868" s="122"/>
      <c r="C868" s="298" t="s">
        <v>9</v>
      </c>
      <c r="D868" s="299" t="s">
        <v>10</v>
      </c>
      <c r="E868" s="767"/>
      <c r="F868" s="301" t="s">
        <v>13</v>
      </c>
      <c r="G868" s="307" t="s">
        <v>14</v>
      </c>
      <c r="H868" s="308" t="s">
        <v>15</v>
      </c>
      <c r="I868" s="5"/>
      <c r="J868" s="5"/>
      <c r="K868" s="146"/>
      <c r="L868" s="145"/>
      <c r="M868" s="682"/>
      <c r="N868" s="116"/>
    </row>
    <row r="869" spans="1:15" ht="12.75" customHeight="1" x14ac:dyDescent="0.25">
      <c r="A869" s="116"/>
      <c r="B869" s="122"/>
      <c r="C869" s="300"/>
      <c r="D869" s="301" t="s">
        <v>8</v>
      </c>
      <c r="E869" s="301" t="s">
        <v>7</v>
      </c>
      <c r="F869" s="301" t="s">
        <v>24</v>
      </c>
      <c r="G869" s="301" t="s">
        <v>565</v>
      </c>
      <c r="H869" s="308" t="s">
        <v>566</v>
      </c>
      <c r="I869" s="5"/>
      <c r="J869" s="5"/>
      <c r="K869" s="146"/>
      <c r="L869" s="145"/>
      <c r="M869" s="682"/>
      <c r="N869" s="116"/>
    </row>
    <row r="870" spans="1:15" ht="12.75" customHeight="1" x14ac:dyDescent="0.25">
      <c r="A870" s="116"/>
      <c r="B870" s="122"/>
      <c r="C870" s="302"/>
      <c r="D870" s="303"/>
      <c r="E870" s="309"/>
      <c r="F870" s="303"/>
      <c r="G870" s="306"/>
      <c r="H870" s="310"/>
      <c r="I870" s="5"/>
      <c r="J870" s="5"/>
      <c r="K870" s="146"/>
      <c r="L870" s="145"/>
      <c r="M870" s="682"/>
      <c r="N870" s="116"/>
    </row>
    <row r="871" spans="1:15" ht="12.75" customHeight="1" x14ac:dyDescent="0.25">
      <c r="A871" s="116"/>
      <c r="B871" s="122"/>
      <c r="C871" s="701" t="s">
        <v>35</v>
      </c>
      <c r="D871" s="703">
        <v>0</v>
      </c>
      <c r="E871" s="704">
        <f>(D873-D871)*1000</f>
        <v>12.5</v>
      </c>
      <c r="F871" s="704">
        <v>0.4</v>
      </c>
      <c r="G871" s="704">
        <f>(F871+F873)/2</f>
        <v>0.33</v>
      </c>
      <c r="H871" s="694">
        <f>G871*E871</f>
        <v>4.125</v>
      </c>
      <c r="I871" s="5"/>
      <c r="J871" s="5"/>
      <c r="K871" s="146"/>
      <c r="L871" s="145"/>
      <c r="M871" s="682"/>
      <c r="N871" s="116"/>
    </row>
    <row r="872" spans="1:15" ht="12.75" customHeight="1" x14ac:dyDescent="0.25">
      <c r="A872" s="116"/>
      <c r="B872" s="122"/>
      <c r="C872" s="702"/>
      <c r="D872" s="692"/>
      <c r="E872" s="683"/>
      <c r="F872" s="683"/>
      <c r="G872" s="683"/>
      <c r="H872" s="710"/>
      <c r="I872" s="5"/>
      <c r="J872" s="5"/>
      <c r="K872" s="146"/>
      <c r="L872" s="145"/>
      <c r="M872" s="682"/>
      <c r="N872" s="116"/>
    </row>
    <row r="873" spans="1:15" ht="12.75" customHeight="1" x14ac:dyDescent="0.25">
      <c r="A873" s="116"/>
      <c r="B873" s="122"/>
      <c r="C873" s="702" t="s">
        <v>119</v>
      </c>
      <c r="D873" s="692">
        <v>1.2500000000000001E-2</v>
      </c>
      <c r="E873" s="683"/>
      <c r="F873" s="683">
        <v>0.26</v>
      </c>
      <c r="G873" s="683"/>
      <c r="H873" s="710"/>
      <c r="I873" s="5"/>
      <c r="J873" s="5"/>
      <c r="K873" s="146"/>
      <c r="L873" s="145"/>
      <c r="M873" s="682"/>
      <c r="N873" s="116"/>
    </row>
    <row r="874" spans="1:15" ht="12.75" customHeight="1" x14ac:dyDescent="0.25">
      <c r="A874" s="116"/>
      <c r="B874" s="122"/>
      <c r="C874" s="702"/>
      <c r="D874" s="692"/>
      <c r="E874" s="683">
        <f>(D875-D873)*1000</f>
        <v>9.9999999999999982</v>
      </c>
      <c r="F874" s="683"/>
      <c r="G874" s="683">
        <f>(F873+F875)/2</f>
        <v>0.26</v>
      </c>
      <c r="H874" s="710">
        <f>G874*E874</f>
        <v>2.5999999999999996</v>
      </c>
      <c r="I874" s="5"/>
      <c r="J874" s="5"/>
      <c r="K874" s="146"/>
      <c r="L874" s="145"/>
      <c r="M874" s="682"/>
      <c r="N874" s="116"/>
    </row>
    <row r="875" spans="1:15" ht="12.75" customHeight="1" x14ac:dyDescent="0.25">
      <c r="A875" s="116"/>
      <c r="B875" s="122"/>
      <c r="C875" s="702" t="s">
        <v>120</v>
      </c>
      <c r="D875" s="692">
        <v>2.2499999999999999E-2</v>
      </c>
      <c r="E875" s="683"/>
      <c r="F875" s="683">
        <v>0.26</v>
      </c>
      <c r="G875" s="683"/>
      <c r="H875" s="710"/>
      <c r="I875" s="5"/>
      <c r="J875" s="5"/>
      <c r="K875" s="146"/>
      <c r="L875" s="145"/>
      <c r="M875" s="682"/>
      <c r="N875" s="116"/>
    </row>
    <row r="876" spans="1:15" ht="12.75" customHeight="1" x14ac:dyDescent="0.25">
      <c r="A876" s="116"/>
      <c r="B876" s="122"/>
      <c r="C876" s="702"/>
      <c r="D876" s="692"/>
      <c r="E876" s="683">
        <f>(D877-D875)*1000</f>
        <v>10.050000000000004</v>
      </c>
      <c r="F876" s="683"/>
      <c r="G876" s="683">
        <f>(F875+F877)/2</f>
        <v>0.26</v>
      </c>
      <c r="H876" s="710">
        <f>G876*E876</f>
        <v>2.6130000000000013</v>
      </c>
      <c r="I876" s="5"/>
      <c r="J876" s="5"/>
      <c r="K876" s="146"/>
      <c r="L876" s="145"/>
      <c r="M876" s="682"/>
      <c r="N876" s="116"/>
    </row>
    <row r="877" spans="1:15" ht="12.75" customHeight="1" x14ac:dyDescent="0.25">
      <c r="A877" s="116"/>
      <c r="B877" s="122"/>
      <c r="C877" s="702" t="s">
        <v>121</v>
      </c>
      <c r="D877" s="692">
        <v>3.2550000000000003E-2</v>
      </c>
      <c r="E877" s="683"/>
      <c r="F877" s="683">
        <v>0.26</v>
      </c>
      <c r="G877" s="683"/>
      <c r="H877" s="710"/>
      <c r="I877" s="5"/>
      <c r="J877" s="5"/>
      <c r="K877" s="146"/>
      <c r="L877" s="145"/>
      <c r="M877" s="682"/>
      <c r="N877" s="116"/>
    </row>
    <row r="878" spans="1:15" ht="12.75" customHeight="1" x14ac:dyDescent="0.25">
      <c r="A878" s="116"/>
      <c r="B878" s="122"/>
      <c r="C878" s="702"/>
      <c r="D878" s="692"/>
      <c r="E878" s="683">
        <f>(D879-D877)*1000</f>
        <v>10.339999999999995</v>
      </c>
      <c r="F878" s="683"/>
      <c r="G878" s="683">
        <f>(F877+F879)/2</f>
        <v>0.26</v>
      </c>
      <c r="H878" s="710">
        <f>G878*E878</f>
        <v>2.6883999999999988</v>
      </c>
      <c r="I878" s="5"/>
      <c r="J878" s="5"/>
      <c r="K878" s="146"/>
      <c r="L878" s="145"/>
      <c r="M878" s="682"/>
      <c r="N878" s="116"/>
    </row>
    <row r="879" spans="1:15" ht="12.75" customHeight="1" x14ac:dyDescent="0.25">
      <c r="A879" s="116"/>
      <c r="B879" s="122"/>
      <c r="C879" s="702" t="s">
        <v>122</v>
      </c>
      <c r="D879" s="692">
        <v>4.2889999999999998E-2</v>
      </c>
      <c r="E879" s="683"/>
      <c r="F879" s="683">
        <v>0.26</v>
      </c>
      <c r="G879" s="683"/>
      <c r="H879" s="710"/>
      <c r="I879" s="5"/>
      <c r="J879" s="5"/>
      <c r="K879" s="146"/>
      <c r="L879" s="145"/>
      <c r="M879" s="682"/>
      <c r="N879" s="116"/>
    </row>
    <row r="880" spans="1:15" ht="12.75" customHeight="1" x14ac:dyDescent="0.25">
      <c r="A880" s="116"/>
      <c r="B880" s="122"/>
      <c r="C880" s="702"/>
      <c r="D880" s="692"/>
      <c r="E880" s="683">
        <f>(D881-D879)*1000</f>
        <v>10.000000000000002</v>
      </c>
      <c r="F880" s="683"/>
      <c r="G880" s="683">
        <f>(F879+F881)/2</f>
        <v>0.26</v>
      </c>
      <c r="H880" s="710">
        <f>G880*E880</f>
        <v>2.6000000000000005</v>
      </c>
      <c r="I880" s="5"/>
      <c r="J880" s="5"/>
      <c r="K880" s="146"/>
      <c r="L880" s="145"/>
      <c r="M880" s="682"/>
      <c r="N880" s="116"/>
    </row>
    <row r="881" spans="1:15" ht="12.75" customHeight="1" x14ac:dyDescent="0.25">
      <c r="A881" s="116"/>
      <c r="B881" s="122"/>
      <c r="C881" s="702" t="s">
        <v>123</v>
      </c>
      <c r="D881" s="692">
        <v>5.289E-2</v>
      </c>
      <c r="E881" s="683"/>
      <c r="F881" s="683">
        <v>0.26</v>
      </c>
      <c r="G881" s="683"/>
      <c r="H881" s="710"/>
      <c r="I881" s="5"/>
      <c r="J881" s="5"/>
      <c r="K881" s="146"/>
      <c r="L881" s="145"/>
      <c r="M881" s="682"/>
      <c r="N881" s="116"/>
    </row>
    <row r="882" spans="1:15" ht="12.75" customHeight="1" x14ac:dyDescent="0.25">
      <c r="A882" s="116"/>
      <c r="B882" s="122"/>
      <c r="C882" s="702"/>
      <c r="D882" s="692"/>
      <c r="E882" s="306"/>
      <c r="F882" s="683"/>
      <c r="G882" s="306"/>
      <c r="H882" s="311"/>
      <c r="I882" s="5"/>
      <c r="J882" s="5"/>
      <c r="K882" s="146"/>
      <c r="L882" s="145"/>
      <c r="M882" s="682"/>
      <c r="N882" s="116"/>
    </row>
    <row r="883" spans="1:15" ht="12.75" customHeight="1" thickBot="1" x14ac:dyDescent="0.3">
      <c r="A883" s="116"/>
      <c r="B883" s="122"/>
      <c r="C883" s="304"/>
      <c r="D883" s="305"/>
      <c r="E883" s="282"/>
      <c r="F883" s="258"/>
      <c r="G883" s="312"/>
      <c r="H883" s="313"/>
      <c r="I883" s="5"/>
      <c r="J883" s="5"/>
      <c r="K883" s="146"/>
      <c r="L883" s="145"/>
      <c r="M883" s="682"/>
      <c r="N883" s="116"/>
    </row>
    <row r="884" spans="1:15" ht="12.75" customHeight="1" thickBot="1" x14ac:dyDescent="0.3">
      <c r="A884" s="116"/>
      <c r="B884" s="122"/>
      <c r="C884" s="314" t="s">
        <v>179</v>
      </c>
      <c r="D884" s="315"/>
      <c r="E884" s="316"/>
      <c r="F884" s="317"/>
      <c r="G884" s="316"/>
      <c r="H884" s="319">
        <f>SUM(H871:H882)</f>
        <v>14.6264</v>
      </c>
      <c r="I884" s="318" t="s">
        <v>566</v>
      </c>
      <c r="J884" s="11"/>
      <c r="K884" s="146"/>
      <c r="L884" s="145"/>
      <c r="M884" s="682"/>
      <c r="N884" s="116"/>
    </row>
    <row r="885" spans="1:15" ht="12.75" customHeight="1" x14ac:dyDescent="0.25">
      <c r="A885" s="116"/>
      <c r="B885" s="186"/>
      <c r="K885" s="146"/>
      <c r="L885" s="145"/>
      <c r="M885" s="682"/>
      <c r="N885" s="116"/>
    </row>
    <row r="886" spans="1:15" ht="12.75" customHeight="1" x14ac:dyDescent="0.25">
      <c r="A886" s="116"/>
      <c r="B886" s="186"/>
      <c r="C886" s="5" t="s">
        <v>376</v>
      </c>
      <c r="D886" s="5"/>
      <c r="E886" s="5"/>
      <c r="F886" s="5"/>
      <c r="G886" s="5"/>
      <c r="H886" s="5"/>
      <c r="I886" s="5"/>
      <c r="K886" s="146"/>
      <c r="L886" s="145"/>
      <c r="M886" s="682"/>
      <c r="N886" s="116"/>
      <c r="O886" s="116"/>
    </row>
    <row r="887" spans="1:15" ht="12.75" customHeight="1" x14ac:dyDescent="0.25">
      <c r="A887" s="116"/>
      <c r="B887" s="186"/>
      <c r="C887" s="5" t="s">
        <v>458</v>
      </c>
      <c r="D887" s="5">
        <v>0.2</v>
      </c>
      <c r="E887" s="5"/>
      <c r="F887" s="5"/>
      <c r="G887" s="5"/>
      <c r="H887" s="5"/>
      <c r="I887" s="5"/>
      <c r="K887" s="146"/>
      <c r="L887" s="145"/>
      <c r="M887" s="682"/>
      <c r="N887" s="116"/>
      <c r="O887" s="116"/>
    </row>
    <row r="888" spans="1:15" ht="12.75" customHeight="1" x14ac:dyDescent="0.25">
      <c r="A888" s="116"/>
      <c r="B888" s="186"/>
      <c r="C888" s="11" t="s">
        <v>377</v>
      </c>
      <c r="D888" s="11">
        <v>0.1</v>
      </c>
      <c r="E888" s="292"/>
      <c r="F888" s="51"/>
      <c r="G888" s="51"/>
      <c r="H888" s="55"/>
      <c r="I888" s="51"/>
      <c r="J888" s="145"/>
      <c r="K888" s="146"/>
      <c r="L888" s="145"/>
      <c r="M888" s="682"/>
      <c r="N888" s="116"/>
      <c r="O888" s="116"/>
    </row>
    <row r="889" spans="1:15" ht="12.75" customHeight="1" x14ac:dyDescent="0.25">
      <c r="A889" s="116"/>
      <c r="B889" s="186"/>
      <c r="C889" s="120" t="s">
        <v>289</v>
      </c>
      <c r="D889" s="120">
        <v>54</v>
      </c>
      <c r="E889" s="293" t="s">
        <v>7</v>
      </c>
      <c r="F889" s="52"/>
      <c r="G889" s="52"/>
      <c r="H889" s="57"/>
      <c r="I889" s="52"/>
      <c r="J889" s="145"/>
      <c r="K889" s="146"/>
      <c r="L889" s="145"/>
      <c r="M889" s="682"/>
      <c r="N889" s="116"/>
      <c r="O889" s="116"/>
    </row>
    <row r="890" spans="1:15" ht="12.75" customHeight="1" x14ac:dyDescent="0.25">
      <c r="A890" s="116"/>
      <c r="B890" s="186"/>
      <c r="C890" s="11" t="s">
        <v>22</v>
      </c>
      <c r="D890" s="11"/>
      <c r="E890" s="292"/>
      <c r="F890" s="51"/>
      <c r="G890" s="51"/>
      <c r="H890" s="55">
        <f>(D887+D888)*D889</f>
        <v>16.200000000000003</v>
      </c>
      <c r="I890" s="318" t="s">
        <v>566</v>
      </c>
      <c r="J890" s="145"/>
      <c r="K890" s="146"/>
      <c r="L890" s="145"/>
      <c r="M890" s="682"/>
      <c r="N890" s="116"/>
      <c r="O890" s="116"/>
    </row>
    <row r="891" spans="1:15" ht="12.75" customHeight="1" x14ac:dyDescent="0.25">
      <c r="A891" s="116"/>
      <c r="B891" s="186"/>
      <c r="C891" s="11"/>
      <c r="D891" s="11"/>
      <c r="E891" s="292"/>
      <c r="F891" s="51"/>
      <c r="G891" s="51"/>
      <c r="H891" s="55"/>
      <c r="I891" s="51"/>
      <c r="J891" s="145"/>
      <c r="K891" s="146"/>
      <c r="L891" s="145"/>
      <c r="M891" s="682"/>
      <c r="N891" s="116"/>
      <c r="O891" s="116"/>
    </row>
    <row r="892" spans="1:15" ht="12.75" customHeight="1" x14ac:dyDescent="0.25">
      <c r="A892" s="116"/>
      <c r="B892" s="186"/>
      <c r="C892" s="11" t="s">
        <v>459</v>
      </c>
      <c r="D892" s="11"/>
      <c r="E892" s="292"/>
      <c r="F892" s="51"/>
      <c r="G892" s="51"/>
      <c r="H892" s="294">
        <f>SUM(H884:H891)</f>
        <v>30.826400000000003</v>
      </c>
      <c r="I892" s="318" t="s">
        <v>566</v>
      </c>
      <c r="J892" s="145"/>
      <c r="M892" s="682"/>
      <c r="N892" s="116"/>
      <c r="O892" s="116"/>
    </row>
    <row r="893" spans="1:15" ht="12.75" customHeight="1" x14ac:dyDescent="0.25">
      <c r="A893" s="116"/>
      <c r="B893" s="291"/>
      <c r="C893" s="11"/>
      <c r="D893" s="11"/>
      <c r="E893" s="292"/>
      <c r="F893" s="51"/>
      <c r="G893" s="51"/>
      <c r="H893" s="55"/>
      <c r="I893" s="149"/>
      <c r="J893" s="145"/>
      <c r="K893" s="146"/>
      <c r="L893" s="145"/>
      <c r="M893" s="682"/>
      <c r="N893" s="116"/>
      <c r="O893" s="116"/>
    </row>
    <row r="894" spans="1:15" ht="12.75" customHeight="1" x14ac:dyDescent="0.25">
      <c r="A894" s="116"/>
      <c r="B894" s="296" t="s">
        <v>396</v>
      </c>
      <c r="C894" s="253" t="s">
        <v>460</v>
      </c>
      <c r="D894" s="253"/>
      <c r="E894" s="297"/>
      <c r="F894" s="12"/>
      <c r="G894" s="12"/>
      <c r="H894" s="13"/>
      <c r="I894" s="155"/>
      <c r="J894" s="158"/>
      <c r="K894" s="146"/>
      <c r="L894" s="145"/>
      <c r="M894" s="682"/>
      <c r="N894" s="116"/>
      <c r="O894" s="116"/>
    </row>
    <row r="895" spans="1:15" ht="12.75" customHeight="1" x14ac:dyDescent="0.25">
      <c r="A895" s="116"/>
      <c r="B895" s="296"/>
      <c r="C895" s="11" t="s">
        <v>578</v>
      </c>
      <c r="D895" s="11"/>
      <c r="E895" s="292"/>
      <c r="F895" s="51"/>
      <c r="G895" s="51"/>
      <c r="H895" s="55"/>
      <c r="I895" s="51"/>
      <c r="J895" s="158"/>
      <c r="K895" s="146"/>
      <c r="L895" s="145"/>
      <c r="M895" s="682"/>
      <c r="N895" s="116"/>
      <c r="O895" s="116"/>
    </row>
    <row r="896" spans="1:15" ht="12.75" customHeight="1" x14ac:dyDescent="0.25">
      <c r="A896" s="116"/>
      <c r="B896" s="296"/>
      <c r="C896" s="11" t="s">
        <v>760</v>
      </c>
      <c r="D896" s="11"/>
      <c r="E896" s="292"/>
      <c r="F896" s="51"/>
      <c r="G896" s="51"/>
      <c r="H896" s="55"/>
      <c r="I896" s="51"/>
      <c r="J896" s="158"/>
      <c r="K896" s="166"/>
      <c r="L896" s="145"/>
      <c r="M896" s="682"/>
      <c r="N896" s="116"/>
      <c r="O896" s="116"/>
    </row>
    <row r="897" spans="1:15" ht="12.75" customHeight="1" x14ac:dyDescent="0.25">
      <c r="A897" s="116"/>
      <c r="B897" s="296"/>
      <c r="C897" s="11" t="s">
        <v>21</v>
      </c>
      <c r="D897" s="11"/>
      <c r="E897" s="292">
        <v>2</v>
      </c>
      <c r="F897" s="51" t="s">
        <v>23</v>
      </c>
      <c r="G897" s="51"/>
      <c r="H897" s="55"/>
      <c r="I897" s="51"/>
      <c r="J897" s="158"/>
      <c r="K897" s="166"/>
      <c r="L897" s="145"/>
      <c r="M897" s="682"/>
      <c r="N897" s="116"/>
      <c r="O897" s="116"/>
    </row>
    <row r="898" spans="1:15" ht="12.75" customHeight="1" x14ac:dyDescent="0.25">
      <c r="A898" s="116"/>
      <c r="B898" s="296"/>
      <c r="C898" s="120" t="s">
        <v>26</v>
      </c>
      <c r="D898" s="120"/>
      <c r="E898" s="293">
        <v>0.8</v>
      </c>
      <c r="F898" s="52" t="s">
        <v>7</v>
      </c>
      <c r="G898" s="52"/>
      <c r="H898" s="57"/>
      <c r="I898" s="51"/>
      <c r="J898" s="158"/>
      <c r="K898" s="166"/>
      <c r="L898" s="145"/>
      <c r="M898" s="682"/>
      <c r="N898" s="116"/>
      <c r="O898" s="116"/>
    </row>
    <row r="899" spans="1:15" ht="12.75" customHeight="1" x14ac:dyDescent="0.25">
      <c r="A899" s="116"/>
      <c r="B899" s="296"/>
      <c r="C899" s="11" t="s">
        <v>22</v>
      </c>
      <c r="D899" s="11"/>
      <c r="E899" s="292"/>
      <c r="F899" s="51"/>
      <c r="G899" s="51"/>
      <c r="H899" s="294">
        <f>E898*E897</f>
        <v>1.6</v>
      </c>
      <c r="I899" s="51" t="s">
        <v>24</v>
      </c>
      <c r="J899" s="158"/>
      <c r="K899" s="166"/>
      <c r="L899" s="145"/>
      <c r="M899" s="682"/>
      <c r="N899" s="116"/>
      <c r="O899" s="116"/>
    </row>
    <row r="900" spans="1:15" ht="12.75" customHeight="1" x14ac:dyDescent="0.25">
      <c r="A900" s="116"/>
      <c r="B900" s="296"/>
      <c r="C900" s="11"/>
      <c r="D900" s="11"/>
      <c r="E900" s="292"/>
      <c r="F900" s="51"/>
      <c r="G900" s="51"/>
      <c r="H900" s="55"/>
      <c r="I900" s="51"/>
      <c r="J900" s="158"/>
      <c r="K900" s="166"/>
      <c r="L900" s="145"/>
      <c r="M900" s="682"/>
      <c r="N900" s="116"/>
      <c r="O900" s="116"/>
    </row>
    <row r="901" spans="1:15" ht="12.75" customHeight="1" x14ac:dyDescent="0.25">
      <c r="A901" s="116"/>
      <c r="B901" s="296"/>
      <c r="C901" s="253" t="s">
        <v>579</v>
      </c>
      <c r="D901" s="253"/>
      <c r="E901" s="297"/>
      <c r="F901" s="12"/>
      <c r="G901" s="12"/>
      <c r="H901" s="13"/>
      <c r="I901" s="12"/>
      <c r="J901" s="158"/>
      <c r="K901" s="166"/>
      <c r="L901" s="145"/>
      <c r="M901" s="682"/>
      <c r="N901" s="116"/>
      <c r="O901" s="116"/>
    </row>
    <row r="902" spans="1:15" ht="12.75" customHeight="1" x14ac:dyDescent="0.25">
      <c r="A902" s="116"/>
      <c r="B902" s="296"/>
      <c r="C902" s="11" t="s">
        <v>21</v>
      </c>
      <c r="D902" s="11"/>
      <c r="E902" s="295">
        <v>0.7</v>
      </c>
      <c r="F902" s="51" t="s">
        <v>23</v>
      </c>
      <c r="G902" s="51"/>
      <c r="H902" s="55"/>
      <c r="I902" s="51"/>
      <c r="J902" s="158"/>
      <c r="K902" s="166"/>
      <c r="L902" s="145"/>
      <c r="M902" s="682"/>
      <c r="N902" s="116"/>
      <c r="O902" s="116"/>
    </row>
    <row r="903" spans="1:15" ht="12.75" customHeight="1" x14ac:dyDescent="0.25">
      <c r="A903" s="116"/>
      <c r="B903" s="296"/>
      <c r="C903" s="120" t="s">
        <v>26</v>
      </c>
      <c r="D903" s="120"/>
      <c r="E903" s="293">
        <v>8</v>
      </c>
      <c r="F903" s="52" t="s">
        <v>7</v>
      </c>
      <c r="G903" s="52"/>
      <c r="H903" s="57"/>
      <c r="I903" s="51"/>
      <c r="J903" s="158"/>
      <c r="K903" s="166"/>
      <c r="L903" s="145"/>
      <c r="M903" s="682"/>
      <c r="N903" s="116"/>
      <c r="O903" s="116"/>
    </row>
    <row r="904" spans="1:15" ht="12.75" customHeight="1" x14ac:dyDescent="0.25">
      <c r="A904" s="116"/>
      <c r="B904" s="296"/>
      <c r="C904" s="11" t="s">
        <v>22</v>
      </c>
      <c r="D904" s="11"/>
      <c r="E904" s="292"/>
      <c r="F904" s="51"/>
      <c r="G904" s="51"/>
      <c r="H904" s="55">
        <f>E902*E903</f>
        <v>5.6</v>
      </c>
      <c r="I904" s="51" t="s">
        <v>24</v>
      </c>
      <c r="J904" s="158"/>
      <c r="K904" s="166"/>
      <c r="L904" s="145"/>
      <c r="M904" s="682"/>
      <c r="N904" s="116"/>
      <c r="O904" s="116"/>
    </row>
    <row r="905" spans="1:15" ht="12.75" customHeight="1" x14ac:dyDescent="0.25">
      <c r="A905" s="116"/>
      <c r="B905" s="296"/>
      <c r="C905" s="120"/>
      <c r="D905" s="120"/>
      <c r="E905" s="293"/>
      <c r="F905" s="52"/>
      <c r="G905" s="52"/>
      <c r="H905" s="57"/>
      <c r="I905" s="52"/>
      <c r="J905" s="158"/>
      <c r="K905" s="166"/>
      <c r="L905" s="145"/>
      <c r="M905" s="682"/>
      <c r="N905" s="116"/>
      <c r="O905" s="116"/>
    </row>
    <row r="906" spans="1:15" ht="12.75" customHeight="1" x14ac:dyDescent="0.25">
      <c r="A906" s="116"/>
      <c r="B906" s="296"/>
      <c r="C906" s="11" t="s">
        <v>580</v>
      </c>
      <c r="D906" s="11"/>
      <c r="E906" s="292"/>
      <c r="F906" s="51"/>
      <c r="G906" s="51"/>
      <c r="H906" s="55">
        <f>SUM(H899:H904)</f>
        <v>7.1999999999999993</v>
      </c>
      <c r="I906" s="51" t="s">
        <v>24</v>
      </c>
      <c r="J906" s="158"/>
      <c r="K906" s="166"/>
      <c r="L906" s="145"/>
      <c r="M906" s="682"/>
      <c r="N906" s="116"/>
      <c r="O906" s="116"/>
    </row>
    <row r="907" spans="1:15" ht="12.75" customHeight="1" x14ac:dyDescent="0.25">
      <c r="A907" s="116"/>
      <c r="B907" s="296"/>
      <c r="C907" s="11"/>
      <c r="D907" s="11"/>
      <c r="E907" s="292"/>
      <c r="F907" s="51"/>
      <c r="G907" s="51"/>
      <c r="H907" s="55"/>
      <c r="I907" s="51"/>
      <c r="J907" s="158"/>
      <c r="K907" s="166"/>
      <c r="L907" s="145"/>
      <c r="M907" s="682"/>
      <c r="N907" s="116"/>
      <c r="O907" s="116"/>
    </row>
    <row r="908" spans="1:15" ht="12.75" customHeight="1" x14ac:dyDescent="0.25">
      <c r="A908" s="116"/>
      <c r="B908" s="291" t="s">
        <v>725</v>
      </c>
      <c r="C908" s="38" t="s">
        <v>720</v>
      </c>
      <c r="D908" s="11"/>
      <c r="E908" s="292"/>
      <c r="F908" s="51"/>
      <c r="G908" s="51"/>
      <c r="H908" s="55"/>
      <c r="I908" s="149"/>
      <c r="J908" s="145"/>
      <c r="K908" s="166"/>
      <c r="L908" s="145"/>
      <c r="M908" s="682"/>
      <c r="N908" s="116"/>
      <c r="O908" s="116"/>
    </row>
    <row r="909" spans="1:15" ht="12.75" customHeight="1" x14ac:dyDescent="0.25">
      <c r="A909" s="116"/>
      <c r="B909" s="291"/>
      <c r="C909" s="38" t="s">
        <v>721</v>
      </c>
      <c r="D909" s="11"/>
      <c r="E909" s="292"/>
      <c r="F909" s="51"/>
      <c r="G909" s="51"/>
      <c r="H909" s="55"/>
      <c r="I909" s="149"/>
      <c r="J909" s="145"/>
      <c r="K909" s="166"/>
      <c r="L909" s="145"/>
      <c r="M909" s="682"/>
      <c r="N909" s="116"/>
      <c r="O909" s="116"/>
    </row>
    <row r="910" spans="1:15" ht="12.75" customHeight="1" x14ac:dyDescent="0.25">
      <c r="A910" s="116"/>
      <c r="B910" s="291"/>
      <c r="C910" s="38" t="s">
        <v>722</v>
      </c>
      <c r="D910" s="11"/>
      <c r="E910" s="292"/>
      <c r="F910" s="51"/>
      <c r="G910" s="51"/>
      <c r="H910" s="55"/>
      <c r="I910" s="149"/>
      <c r="J910" s="145"/>
      <c r="K910" s="166"/>
      <c r="L910" s="145"/>
      <c r="M910" s="682"/>
      <c r="N910" s="116"/>
      <c r="O910" s="116"/>
    </row>
    <row r="911" spans="1:15" ht="12.75" customHeight="1" x14ac:dyDescent="0.25">
      <c r="A911" s="116"/>
      <c r="B911" s="291"/>
      <c r="C911" s="38" t="s">
        <v>723</v>
      </c>
      <c r="D911" s="11"/>
      <c r="E911" s="292"/>
      <c r="F911" s="51"/>
      <c r="G911" s="51"/>
      <c r="H911" s="55"/>
      <c r="I911" s="149"/>
      <c r="J911" s="145"/>
      <c r="K911" s="166"/>
      <c r="L911" s="145"/>
      <c r="M911" s="682"/>
      <c r="N911" s="116"/>
      <c r="O911" s="116"/>
    </row>
    <row r="912" spans="1:15" ht="12.75" customHeight="1" x14ac:dyDescent="0.25">
      <c r="A912" s="116"/>
      <c r="B912" s="291"/>
      <c r="C912" s="38" t="s">
        <v>724</v>
      </c>
      <c r="D912" s="11"/>
      <c r="E912" s="292"/>
      <c r="F912" s="51"/>
      <c r="G912" s="11"/>
      <c r="H912" s="55"/>
      <c r="I912" s="149"/>
      <c r="J912" s="145"/>
      <c r="K912" s="146"/>
      <c r="L912" s="145"/>
      <c r="M912" s="682"/>
      <c r="N912" s="116"/>
      <c r="O912" s="116"/>
    </row>
    <row r="913" spans="1:15" ht="12.75" customHeight="1" x14ac:dyDescent="0.25">
      <c r="A913" s="116"/>
      <c r="B913" s="5"/>
      <c r="C913" s="11"/>
      <c r="D913" s="11"/>
      <c r="E913" s="292"/>
      <c r="F913" s="51"/>
      <c r="G913" s="51"/>
      <c r="H913" s="55"/>
      <c r="I913" s="149"/>
      <c r="J913" s="145"/>
      <c r="K913" s="146"/>
      <c r="L913" s="145"/>
      <c r="M913" s="682"/>
      <c r="N913" s="116"/>
      <c r="O913" s="116"/>
    </row>
    <row r="914" spans="1:15" ht="12.75" customHeight="1" x14ac:dyDescent="0.25">
      <c r="A914" s="116"/>
      <c r="B914" s="122"/>
      <c r="C914" s="180"/>
      <c r="D914" s="149"/>
      <c r="E914" s="150"/>
      <c r="F914" s="149"/>
      <c r="G914" s="149"/>
      <c r="H914" s="150"/>
      <c r="I914" s="149"/>
      <c r="J914" s="145"/>
      <c r="K914" s="146"/>
      <c r="L914" s="145"/>
      <c r="M914" s="682"/>
      <c r="N914" s="116"/>
      <c r="O914" s="116"/>
    </row>
    <row r="915" spans="1:15" ht="12.75" customHeight="1" x14ac:dyDescent="0.25">
      <c r="A915" s="116"/>
      <c r="B915" s="129"/>
      <c r="C915" s="129"/>
      <c r="D915" s="129"/>
      <c r="E915" s="129"/>
      <c r="F915" s="129"/>
      <c r="G915" s="129"/>
      <c r="H915" s="178"/>
      <c r="I915" s="149"/>
      <c r="J915" s="145"/>
      <c r="K915" s="146"/>
      <c r="L915" s="145"/>
      <c r="M915" s="682"/>
      <c r="N915" s="116"/>
      <c r="O915" s="116"/>
    </row>
    <row r="916" spans="1:15" ht="12.75" customHeight="1" x14ac:dyDescent="0.25">
      <c r="A916" s="116"/>
      <c r="B916" s="129"/>
      <c r="C916" s="129"/>
      <c r="D916" s="129"/>
      <c r="E916" s="129"/>
      <c r="F916" s="129"/>
      <c r="G916" s="129"/>
      <c r="H916" s="178"/>
      <c r="I916" s="149"/>
      <c r="J916" s="145"/>
      <c r="K916" s="146"/>
      <c r="L916" s="145"/>
      <c r="M916" s="682"/>
      <c r="N916" s="116"/>
      <c r="O916" s="116"/>
    </row>
    <row r="917" spans="1:15" ht="12.75" customHeight="1" x14ac:dyDescent="0.25">
      <c r="A917" s="116"/>
      <c r="B917" s="185"/>
      <c r="C917" s="187"/>
      <c r="D917" s="187"/>
      <c r="E917" s="187"/>
      <c r="F917" s="187"/>
      <c r="G917" s="178"/>
      <c r="H917" s="178"/>
      <c r="I917" s="149"/>
      <c r="J917" s="145"/>
      <c r="K917" s="146"/>
      <c r="L917" s="145"/>
      <c r="M917" s="682"/>
      <c r="N917" s="116"/>
      <c r="O917" s="116"/>
    </row>
    <row r="918" spans="1:15" ht="12.75" customHeight="1" x14ac:dyDescent="0.25">
      <c r="A918" s="116"/>
      <c r="B918" s="188"/>
      <c r="C918" s="178"/>
      <c r="D918" s="178"/>
      <c r="E918" s="178"/>
      <c r="F918" s="178"/>
      <c r="G918" s="178"/>
      <c r="H918" s="178"/>
      <c r="I918" s="149"/>
      <c r="J918" s="145"/>
      <c r="K918" s="146"/>
      <c r="L918" s="145"/>
      <c r="M918" s="682"/>
      <c r="N918" s="116"/>
      <c r="O918" s="116"/>
    </row>
    <row r="919" spans="1:15" ht="12.75" customHeight="1" x14ac:dyDescent="0.25">
      <c r="A919" s="116"/>
      <c r="B919" s="178"/>
      <c r="C919" s="178"/>
      <c r="D919" s="178"/>
      <c r="E919" s="178"/>
      <c r="F919" s="178"/>
      <c r="G919" s="178"/>
      <c r="H919" s="178"/>
      <c r="I919" s="149"/>
      <c r="J919" s="145"/>
      <c r="K919" s="146"/>
      <c r="L919" s="145"/>
      <c r="M919" s="682"/>
      <c r="N919" s="116"/>
      <c r="O919" s="116"/>
    </row>
    <row r="920" spans="1:15" ht="12.75" customHeight="1" x14ac:dyDescent="0.25">
      <c r="A920" s="116"/>
      <c r="B920" s="122"/>
      <c r="C920" s="116"/>
      <c r="D920" s="145"/>
      <c r="E920" s="146"/>
      <c r="F920" s="145"/>
      <c r="G920" s="145"/>
      <c r="H920" s="146"/>
      <c r="I920" s="145"/>
      <c r="J920" s="145"/>
      <c r="K920" s="146"/>
      <c r="L920" s="145"/>
      <c r="M920" s="682"/>
      <c r="N920" s="116"/>
      <c r="O920" s="116"/>
    </row>
    <row r="921" spans="1:15" ht="12.75" customHeight="1" x14ac:dyDescent="0.25">
      <c r="A921" s="116"/>
      <c r="B921" s="171"/>
      <c r="C921" s="116"/>
      <c r="D921" s="145"/>
      <c r="E921" s="146"/>
      <c r="F921" s="145"/>
      <c r="G921" s="145"/>
      <c r="H921" s="146"/>
      <c r="I921" s="145"/>
      <c r="J921" s="145"/>
      <c r="K921" s="146"/>
      <c r="L921" s="145"/>
      <c r="M921" s="682"/>
      <c r="N921" s="116"/>
      <c r="O921" s="116"/>
    </row>
    <row r="922" spans="1:15" ht="12.75" customHeight="1" x14ac:dyDescent="0.25">
      <c r="A922" s="116"/>
      <c r="B922" s="161"/>
      <c r="C922" s="161"/>
      <c r="D922" s="155"/>
      <c r="E922" s="156"/>
      <c r="F922" s="145"/>
      <c r="G922" s="145"/>
      <c r="H922" s="146"/>
      <c r="I922" s="145"/>
      <c r="J922" s="145"/>
      <c r="K922" s="146"/>
      <c r="L922" s="145"/>
      <c r="M922" s="682"/>
      <c r="N922" s="116"/>
      <c r="O922" s="116"/>
    </row>
    <row r="923" spans="1:15" ht="12.75" customHeight="1" x14ac:dyDescent="0.25">
      <c r="A923" s="116"/>
      <c r="B923" s="189"/>
      <c r="C923" s="190"/>
      <c r="D923" s="145"/>
      <c r="E923" s="146"/>
      <c r="F923" s="145"/>
      <c r="G923" s="145"/>
      <c r="H923" s="146"/>
      <c r="I923" s="145"/>
      <c r="J923" s="145"/>
      <c r="K923" s="146"/>
      <c r="L923" s="145"/>
      <c r="M923" s="682"/>
      <c r="N923" s="116"/>
      <c r="O923" s="116"/>
    </row>
    <row r="924" spans="1:15" ht="12.75" customHeight="1" x14ac:dyDescent="0.25">
      <c r="A924" s="116"/>
      <c r="B924" s="131"/>
      <c r="C924" s="116"/>
      <c r="D924" s="145"/>
      <c r="E924" s="146"/>
      <c r="F924" s="145"/>
      <c r="G924" s="145"/>
      <c r="H924" s="146"/>
      <c r="I924" s="145"/>
      <c r="J924" s="145"/>
      <c r="K924" s="146"/>
      <c r="L924" s="145"/>
      <c r="M924" s="682"/>
      <c r="N924" s="116"/>
      <c r="O924" s="116"/>
    </row>
    <row r="925" spans="1:15" ht="12.75" customHeight="1" x14ac:dyDescent="0.25">
      <c r="A925" s="116"/>
      <c r="B925" s="131"/>
      <c r="C925" s="116"/>
      <c r="D925" s="145"/>
      <c r="E925" s="146"/>
      <c r="F925" s="145"/>
      <c r="G925" s="145"/>
      <c r="H925" s="146"/>
      <c r="I925" s="145"/>
      <c r="J925" s="145"/>
      <c r="K925" s="146"/>
      <c r="L925" s="145"/>
      <c r="M925" s="682"/>
      <c r="N925" s="116"/>
      <c r="O925" s="116"/>
    </row>
    <row r="926" spans="1:15" ht="12.75" customHeight="1" x14ac:dyDescent="0.25">
      <c r="A926" s="116"/>
      <c r="B926" s="131"/>
      <c r="C926" s="116"/>
      <c r="D926" s="145"/>
      <c r="E926" s="146"/>
      <c r="F926" s="145"/>
      <c r="G926" s="145"/>
      <c r="H926" s="146"/>
      <c r="I926" s="145"/>
      <c r="J926" s="145"/>
      <c r="K926" s="146"/>
      <c r="L926" s="145"/>
      <c r="M926" s="682"/>
      <c r="N926" s="116"/>
      <c r="O926" s="116"/>
    </row>
    <row r="927" spans="1:15" ht="12.75" customHeight="1" x14ac:dyDescent="0.25">
      <c r="A927" s="116"/>
      <c r="B927" s="131"/>
      <c r="C927" s="116"/>
      <c r="D927" s="145"/>
      <c r="E927" s="146"/>
      <c r="F927" s="145"/>
      <c r="G927" s="145"/>
      <c r="H927" s="146"/>
      <c r="I927" s="145"/>
      <c r="J927" s="145"/>
      <c r="K927" s="146"/>
      <c r="L927" s="145"/>
      <c r="M927" s="682"/>
      <c r="N927" s="116"/>
      <c r="O927" s="116"/>
    </row>
    <row r="928" spans="1:15" ht="12.75" customHeight="1" x14ac:dyDescent="0.25">
      <c r="A928" s="116"/>
      <c r="B928" s="131"/>
      <c r="C928" s="116"/>
      <c r="D928" s="145"/>
      <c r="E928" s="146"/>
      <c r="F928" s="145"/>
      <c r="G928" s="145"/>
      <c r="H928" s="146"/>
      <c r="I928" s="145"/>
      <c r="J928" s="145"/>
      <c r="K928" s="146"/>
      <c r="L928" s="145"/>
      <c r="M928" s="682"/>
      <c r="N928" s="116"/>
      <c r="O928" s="116"/>
    </row>
    <row r="929" spans="1:15" ht="12.75" customHeight="1" x14ac:dyDescent="0.25">
      <c r="A929" s="116"/>
      <c r="B929" s="131"/>
      <c r="C929" s="116"/>
      <c r="D929" s="145"/>
      <c r="E929" s="146"/>
      <c r="F929" s="145"/>
      <c r="G929" s="145"/>
      <c r="H929" s="146"/>
      <c r="I929" s="145"/>
      <c r="J929" s="145"/>
      <c r="K929" s="146"/>
      <c r="L929" s="145"/>
      <c r="M929" s="682"/>
      <c r="N929" s="116"/>
      <c r="O929" s="116"/>
    </row>
    <row r="930" spans="1:15" ht="12.75" customHeight="1" x14ac:dyDescent="0.25">
      <c r="A930" s="116"/>
      <c r="B930" s="131"/>
      <c r="C930" s="116"/>
      <c r="D930" s="145"/>
      <c r="E930" s="146"/>
      <c r="F930" s="145"/>
      <c r="G930" s="145"/>
      <c r="H930" s="146"/>
      <c r="I930" s="145"/>
      <c r="J930" s="145"/>
      <c r="K930" s="146"/>
      <c r="L930" s="145"/>
      <c r="M930" s="682"/>
      <c r="N930" s="116"/>
      <c r="O930" s="116"/>
    </row>
    <row r="931" spans="1:15" ht="12.75" customHeight="1" x14ac:dyDescent="0.25">
      <c r="A931" s="116"/>
      <c r="B931" s="131"/>
      <c r="C931" s="116"/>
      <c r="D931" s="145"/>
      <c r="E931" s="146"/>
      <c r="F931" s="145"/>
      <c r="G931" s="145"/>
      <c r="H931" s="146"/>
      <c r="I931" s="145"/>
      <c r="J931" s="145"/>
      <c r="K931" s="146"/>
      <c r="L931" s="145"/>
      <c r="M931" s="682"/>
      <c r="N931" s="116"/>
      <c r="O931" s="116"/>
    </row>
    <row r="932" spans="1:15" ht="12.75" customHeight="1" x14ac:dyDescent="0.25">
      <c r="A932" s="116"/>
      <c r="B932" s="131"/>
      <c r="C932" s="116"/>
      <c r="D932" s="145"/>
      <c r="E932" s="146"/>
      <c r="F932" s="145"/>
      <c r="G932" s="145"/>
      <c r="H932" s="146"/>
      <c r="I932" s="145"/>
      <c r="J932" s="145"/>
      <c r="K932" s="146"/>
      <c r="L932" s="145"/>
      <c r="M932" s="682"/>
      <c r="N932" s="116"/>
      <c r="O932" s="116"/>
    </row>
    <row r="933" spans="1:15" ht="12.75" customHeight="1" x14ac:dyDescent="0.25">
      <c r="A933" s="116"/>
      <c r="B933" s="131"/>
      <c r="C933" s="116"/>
      <c r="D933" s="145"/>
      <c r="E933" s="146"/>
      <c r="F933" s="145"/>
      <c r="G933" s="145"/>
      <c r="H933" s="146"/>
      <c r="I933" s="145"/>
      <c r="J933" s="145"/>
      <c r="K933" s="146"/>
      <c r="L933" s="145"/>
      <c r="M933" s="682"/>
      <c r="N933" s="116"/>
      <c r="O933" s="116"/>
    </row>
    <row r="934" spans="1:15" ht="12.75" customHeight="1" x14ac:dyDescent="0.25">
      <c r="A934" s="116"/>
      <c r="B934" s="131"/>
      <c r="C934" s="116"/>
      <c r="D934" s="145"/>
      <c r="E934" s="146"/>
      <c r="F934" s="145"/>
      <c r="G934" s="145"/>
      <c r="H934" s="146"/>
      <c r="I934" s="145"/>
      <c r="J934" s="145"/>
      <c r="K934" s="146"/>
      <c r="L934" s="145"/>
      <c r="M934" s="682"/>
      <c r="N934" s="116"/>
      <c r="O934" s="116"/>
    </row>
    <row r="935" spans="1:15" ht="12.75" customHeight="1" x14ac:dyDescent="0.25">
      <c r="A935" s="116"/>
      <c r="B935" s="191"/>
      <c r="C935" s="168"/>
      <c r="D935" s="158"/>
      <c r="E935" s="157"/>
      <c r="F935" s="158"/>
      <c r="G935" s="158"/>
      <c r="H935" s="146"/>
      <c r="I935" s="145"/>
      <c r="J935" s="145"/>
      <c r="K935" s="146"/>
      <c r="L935" s="145"/>
      <c r="M935" s="682"/>
      <c r="N935" s="116"/>
      <c r="O935" s="116"/>
    </row>
    <row r="936" spans="1:15" ht="12.75" customHeight="1" x14ac:dyDescent="0.25">
      <c r="A936" s="116"/>
      <c r="B936" s="131"/>
      <c r="C936" s="116"/>
      <c r="D936" s="145"/>
      <c r="E936" s="146"/>
      <c r="F936" s="145"/>
      <c r="G936" s="145"/>
      <c r="H936" s="146"/>
      <c r="I936" s="145"/>
      <c r="J936" s="145"/>
      <c r="K936" s="146"/>
      <c r="L936" s="145"/>
      <c r="M936" s="682"/>
      <c r="N936" s="116"/>
      <c r="O936" s="116"/>
    </row>
    <row r="937" spans="1:15" ht="12.75" customHeight="1" x14ac:dyDescent="0.25">
      <c r="A937" s="116"/>
      <c r="B937" s="161"/>
      <c r="C937" s="154"/>
      <c r="D937" s="155"/>
      <c r="E937" s="146"/>
      <c r="F937" s="145"/>
      <c r="G937" s="145"/>
      <c r="H937" s="146"/>
      <c r="I937" s="145"/>
      <c r="J937" s="145"/>
      <c r="K937" s="146"/>
      <c r="L937" s="145"/>
      <c r="M937" s="682"/>
      <c r="N937" s="116"/>
      <c r="O937" s="116"/>
    </row>
    <row r="938" spans="1:15" ht="12.75" customHeight="1" x14ac:dyDescent="0.25">
      <c r="A938" s="116"/>
      <c r="B938" s="177"/>
      <c r="C938" s="154"/>
      <c r="D938" s="116"/>
      <c r="E938" s="116"/>
      <c r="F938" s="116"/>
      <c r="G938" s="145"/>
      <c r="H938" s="146"/>
      <c r="I938" s="145"/>
      <c r="J938" s="145"/>
      <c r="K938" s="146"/>
      <c r="L938" s="145"/>
      <c r="M938" s="682"/>
      <c r="N938" s="116"/>
      <c r="O938" s="116"/>
    </row>
    <row r="939" spans="1:15" ht="12.75" customHeight="1" x14ac:dyDescent="0.25">
      <c r="A939" s="116"/>
      <c r="B939" s="177"/>
      <c r="C939" s="130"/>
      <c r="D939" s="149"/>
      <c r="E939" s="146"/>
      <c r="F939" s="145"/>
      <c r="G939" s="145"/>
      <c r="H939" s="146"/>
      <c r="I939" s="145"/>
      <c r="J939" s="145"/>
      <c r="K939" s="146"/>
      <c r="L939" s="145"/>
      <c r="M939" s="682"/>
      <c r="N939" s="116"/>
      <c r="O939" s="116"/>
    </row>
    <row r="940" spans="1:15" ht="12.75" customHeight="1" x14ac:dyDescent="0.25">
      <c r="A940" s="116"/>
      <c r="B940" s="177"/>
      <c r="C940" s="130"/>
      <c r="D940" s="149"/>
      <c r="E940" s="146"/>
      <c r="F940" s="145"/>
      <c r="G940" s="145"/>
      <c r="H940" s="146"/>
      <c r="I940" s="145"/>
      <c r="J940" s="145"/>
      <c r="K940" s="146"/>
      <c r="L940" s="145"/>
      <c r="M940" s="682"/>
      <c r="N940" s="116"/>
      <c r="O940" s="116"/>
    </row>
    <row r="941" spans="1:15" ht="12.75" customHeight="1" x14ac:dyDescent="0.25">
      <c r="A941" s="116"/>
      <c r="B941" s="177"/>
      <c r="C941" s="154"/>
      <c r="D941" s="155"/>
      <c r="E941" s="146"/>
      <c r="F941" s="192"/>
      <c r="G941" s="145"/>
      <c r="H941" s="146"/>
      <c r="I941" s="145"/>
      <c r="J941" s="145"/>
      <c r="K941" s="146"/>
      <c r="L941" s="145"/>
      <c r="M941" s="682"/>
      <c r="N941" s="116"/>
      <c r="O941" s="116"/>
    </row>
    <row r="942" spans="1:15" ht="12.75" customHeight="1" x14ac:dyDescent="0.25">
      <c r="A942" s="180"/>
      <c r="B942" s="177"/>
      <c r="C942" s="184"/>
      <c r="D942" s="155"/>
      <c r="E942" s="150"/>
      <c r="F942" s="149"/>
      <c r="G942" s="149"/>
      <c r="H942" s="150"/>
      <c r="I942" s="149"/>
      <c r="J942" s="145"/>
      <c r="K942" s="146"/>
      <c r="L942" s="145"/>
      <c r="M942" s="682"/>
      <c r="N942" s="116"/>
      <c r="O942" s="116"/>
    </row>
    <row r="943" spans="1:15" ht="12.75" customHeight="1" x14ac:dyDescent="0.25">
      <c r="A943" s="180"/>
      <c r="B943" s="193"/>
      <c r="C943" s="184"/>
      <c r="D943" s="155"/>
      <c r="E943" s="150"/>
      <c r="F943" s="149"/>
      <c r="G943" s="149"/>
      <c r="H943" s="150"/>
      <c r="I943" s="149"/>
      <c r="J943" s="145"/>
      <c r="K943" s="146"/>
      <c r="L943" s="145"/>
      <c r="M943" s="682"/>
      <c r="N943" s="116"/>
      <c r="O943" s="116"/>
    </row>
    <row r="944" spans="1:15" ht="12.75" customHeight="1" x14ac:dyDescent="0.25">
      <c r="A944" s="180"/>
      <c r="B944" s="193"/>
      <c r="C944" s="184"/>
      <c r="D944" s="150"/>
      <c r="E944" s="149"/>
      <c r="F944" s="180"/>
      <c r="G944" s="149"/>
      <c r="H944" s="150"/>
      <c r="I944" s="149"/>
      <c r="J944" s="145"/>
      <c r="K944" s="146"/>
      <c r="L944" s="145"/>
      <c r="M944" s="682"/>
      <c r="N944" s="116"/>
      <c r="O944" s="116"/>
    </row>
    <row r="945" spans="1:15" ht="12.75" customHeight="1" x14ac:dyDescent="0.25">
      <c r="A945" s="180"/>
      <c r="B945" s="193"/>
      <c r="C945" s="184"/>
      <c r="D945" s="150"/>
      <c r="E945" s="149"/>
      <c r="F945" s="180"/>
      <c r="G945" s="149"/>
      <c r="H945" s="150"/>
      <c r="I945" s="149"/>
      <c r="J945" s="145"/>
      <c r="K945" s="146"/>
      <c r="L945" s="145"/>
      <c r="M945" s="682"/>
      <c r="N945" s="116"/>
      <c r="O945" s="116"/>
    </row>
    <row r="946" spans="1:15" ht="12.75" customHeight="1" x14ac:dyDescent="0.25">
      <c r="A946" s="180"/>
      <c r="B946" s="193"/>
      <c r="C946" s="180"/>
      <c r="D946" s="149"/>
      <c r="E946" s="150"/>
      <c r="F946" s="149"/>
      <c r="G946" s="149"/>
      <c r="H946" s="150"/>
      <c r="I946" s="149"/>
      <c r="J946" s="145"/>
      <c r="K946" s="146"/>
      <c r="L946" s="145"/>
      <c r="M946" s="682"/>
      <c r="N946" s="116"/>
      <c r="O946" s="116"/>
    </row>
    <row r="947" spans="1:15" ht="12.75" customHeight="1" x14ac:dyDescent="0.25">
      <c r="A947" s="180"/>
      <c r="B947" s="193"/>
      <c r="C947" s="180"/>
      <c r="D947" s="149"/>
      <c r="E947" s="150"/>
      <c r="F947" s="149"/>
      <c r="G947" s="149"/>
      <c r="H947" s="150"/>
      <c r="I947" s="149"/>
      <c r="J947" s="145"/>
      <c r="K947" s="146"/>
      <c r="L947" s="145"/>
      <c r="M947" s="682"/>
      <c r="N947" s="116"/>
      <c r="O947" s="116"/>
    </row>
    <row r="948" spans="1:15" ht="12.75" customHeight="1" x14ac:dyDescent="0.25">
      <c r="A948" s="180"/>
      <c r="B948" s="193"/>
      <c r="C948" s="180"/>
      <c r="D948" s="149"/>
      <c r="E948" s="150"/>
      <c r="F948" s="149"/>
      <c r="G948" s="149"/>
      <c r="H948" s="150"/>
      <c r="I948" s="149"/>
      <c r="J948" s="145"/>
      <c r="K948" s="146"/>
      <c r="L948" s="145"/>
      <c r="M948" s="682"/>
      <c r="N948" s="116"/>
      <c r="O948" s="116"/>
    </row>
    <row r="949" spans="1:15" ht="12.75" customHeight="1" x14ac:dyDescent="0.25">
      <c r="A949" s="180"/>
      <c r="B949" s="193"/>
      <c r="C949" s="180"/>
      <c r="D949" s="150"/>
      <c r="E949" s="149"/>
      <c r="F949" s="180"/>
      <c r="G949" s="149"/>
      <c r="H949" s="150"/>
      <c r="I949" s="149"/>
      <c r="J949" s="145"/>
      <c r="K949" s="146"/>
      <c r="L949" s="145"/>
      <c r="M949" s="682"/>
      <c r="N949" s="116"/>
      <c r="O949" s="116"/>
    </row>
    <row r="950" spans="1:15" ht="12.75" customHeight="1" x14ac:dyDescent="0.25">
      <c r="A950" s="180"/>
      <c r="B950" s="193"/>
      <c r="C950" s="180"/>
      <c r="D950" s="150"/>
      <c r="E950" s="149"/>
      <c r="F950" s="180"/>
      <c r="G950" s="149"/>
      <c r="H950" s="150"/>
      <c r="I950" s="149"/>
      <c r="J950" s="145"/>
      <c r="K950" s="146"/>
      <c r="L950" s="145"/>
      <c r="M950" s="682"/>
      <c r="N950" s="116"/>
      <c r="O950" s="116"/>
    </row>
    <row r="951" spans="1:15" ht="12.75" customHeight="1" x14ac:dyDescent="0.25">
      <c r="A951" s="180"/>
      <c r="B951" s="193"/>
      <c r="C951" s="180"/>
      <c r="D951" s="149"/>
      <c r="E951" s="150"/>
      <c r="F951" s="149"/>
      <c r="G951" s="149"/>
      <c r="H951" s="150"/>
      <c r="I951" s="149"/>
      <c r="J951" s="145"/>
      <c r="K951" s="146"/>
      <c r="L951" s="145"/>
      <c r="M951" s="682"/>
      <c r="N951" s="116"/>
      <c r="O951" s="116"/>
    </row>
    <row r="952" spans="1:15" ht="12.75" customHeight="1" x14ac:dyDescent="0.25">
      <c r="A952" s="180"/>
      <c r="B952" s="193"/>
      <c r="C952" s="180"/>
      <c r="D952" s="149"/>
      <c r="E952" s="150"/>
      <c r="F952" s="149"/>
      <c r="G952" s="149"/>
      <c r="H952" s="150"/>
      <c r="I952" s="149"/>
      <c r="J952" s="145"/>
      <c r="K952" s="146"/>
      <c r="L952" s="145"/>
      <c r="M952" s="682"/>
      <c r="N952" s="116"/>
      <c r="O952" s="116"/>
    </row>
    <row r="953" spans="1:15" ht="12.75" customHeight="1" x14ac:dyDescent="0.25">
      <c r="A953" s="180"/>
      <c r="B953" s="177"/>
      <c r="C953" s="180"/>
      <c r="D953" s="149"/>
      <c r="E953" s="150"/>
      <c r="F953" s="149"/>
      <c r="G953" s="149"/>
      <c r="H953" s="150"/>
      <c r="I953" s="149"/>
      <c r="J953" s="145"/>
      <c r="K953" s="146"/>
      <c r="L953" s="145"/>
      <c r="M953" s="682"/>
      <c r="N953" s="116"/>
      <c r="O953" s="116"/>
    </row>
    <row r="954" spans="1:15" ht="12.75" customHeight="1" x14ac:dyDescent="0.25">
      <c r="A954" s="180"/>
      <c r="B954" s="193"/>
      <c r="C954" s="180"/>
      <c r="D954" s="150"/>
      <c r="E954" s="149"/>
      <c r="F954" s="180"/>
      <c r="G954" s="149"/>
      <c r="H954" s="150"/>
      <c r="I954" s="149"/>
      <c r="J954" s="145"/>
      <c r="K954" s="146"/>
      <c r="L954" s="145"/>
      <c r="M954" s="682"/>
      <c r="N954" s="116"/>
      <c r="O954" s="116"/>
    </row>
    <row r="955" spans="1:15" ht="12.75" customHeight="1" x14ac:dyDescent="0.25">
      <c r="A955" s="180"/>
      <c r="B955" s="193"/>
      <c r="C955" s="180"/>
      <c r="D955" s="150"/>
      <c r="E955" s="149"/>
      <c r="F955" s="180"/>
      <c r="G955" s="149"/>
      <c r="H955" s="150"/>
      <c r="I955" s="149"/>
      <c r="J955" s="145"/>
      <c r="K955" s="146"/>
      <c r="L955" s="145"/>
      <c r="M955" s="682"/>
      <c r="N955" s="116"/>
      <c r="O955" s="116"/>
    </row>
    <row r="956" spans="1:15" ht="12.75" customHeight="1" x14ac:dyDescent="0.25">
      <c r="A956" s="180"/>
      <c r="B956" s="193"/>
      <c r="C956" s="180"/>
      <c r="D956" s="149"/>
      <c r="E956" s="150"/>
      <c r="F956" s="149"/>
      <c r="G956" s="149"/>
      <c r="H956" s="150"/>
      <c r="I956" s="149"/>
      <c r="J956" s="145"/>
      <c r="K956" s="146"/>
      <c r="L956" s="145"/>
      <c r="M956" s="682"/>
      <c r="N956" s="116"/>
      <c r="O956" s="116"/>
    </row>
    <row r="957" spans="1:15" ht="12.75" customHeight="1" x14ac:dyDescent="0.25">
      <c r="A957" s="180"/>
      <c r="B957" s="177"/>
      <c r="C957" s="180"/>
      <c r="D957" s="149"/>
      <c r="E957" s="150"/>
      <c r="F957" s="149"/>
      <c r="G957" s="149"/>
      <c r="H957" s="150"/>
      <c r="I957" s="149"/>
      <c r="J957" s="145"/>
      <c r="K957" s="146"/>
      <c r="L957" s="145"/>
      <c r="M957" s="682"/>
      <c r="N957" s="116"/>
      <c r="O957" s="116"/>
    </row>
    <row r="958" spans="1:15" ht="12.75" customHeight="1" x14ac:dyDescent="0.25">
      <c r="A958" s="180"/>
      <c r="B958" s="180"/>
      <c r="C958" s="180"/>
      <c r="D958" s="149"/>
      <c r="E958" s="150"/>
      <c r="F958" s="149"/>
      <c r="G958" s="149"/>
      <c r="H958" s="150"/>
      <c r="I958" s="149"/>
      <c r="J958" s="145"/>
      <c r="K958" s="146"/>
      <c r="L958" s="145"/>
      <c r="M958" s="682"/>
      <c r="N958" s="116"/>
      <c r="O958" s="116"/>
    </row>
    <row r="959" spans="1:15" ht="12.75" customHeight="1" x14ac:dyDescent="0.25">
      <c r="A959" s="180"/>
      <c r="B959" s="177"/>
      <c r="C959" s="180"/>
      <c r="D959" s="149"/>
      <c r="E959" s="150"/>
      <c r="F959" s="149"/>
      <c r="G959" s="149"/>
      <c r="H959" s="150"/>
      <c r="I959" s="149"/>
      <c r="J959" s="145"/>
      <c r="K959" s="146"/>
      <c r="L959" s="145"/>
      <c r="M959" s="682"/>
      <c r="N959" s="116"/>
      <c r="O959" s="116"/>
    </row>
    <row r="960" spans="1:15" ht="12.75" customHeight="1" x14ac:dyDescent="0.25">
      <c r="A960" s="180"/>
      <c r="B960" s="193"/>
      <c r="C960" s="180"/>
      <c r="D960" s="149"/>
      <c r="E960" s="150"/>
      <c r="F960" s="149"/>
      <c r="G960" s="149"/>
      <c r="H960" s="150"/>
      <c r="I960" s="149"/>
      <c r="J960" s="145"/>
      <c r="K960" s="146"/>
      <c r="L960" s="145"/>
      <c r="M960" s="682"/>
      <c r="N960" s="116"/>
      <c r="O960" s="116"/>
    </row>
    <row r="961" spans="1:15" ht="12.75" customHeight="1" x14ac:dyDescent="0.25">
      <c r="A961" s="116"/>
      <c r="B961" s="193"/>
      <c r="C961" s="180"/>
      <c r="D961" s="150"/>
      <c r="E961" s="149"/>
      <c r="F961" s="180"/>
      <c r="G961" s="149"/>
      <c r="H961" s="146"/>
      <c r="I961" s="145"/>
      <c r="J961" s="145"/>
      <c r="K961" s="146"/>
      <c r="L961" s="145"/>
      <c r="M961" s="682"/>
      <c r="N961" s="116"/>
      <c r="O961" s="116"/>
    </row>
    <row r="962" spans="1:15" ht="12.75" customHeight="1" x14ac:dyDescent="0.25">
      <c r="A962" s="116"/>
      <c r="B962" s="193"/>
      <c r="C962" s="180"/>
      <c r="D962" s="150"/>
      <c r="E962" s="149"/>
      <c r="F962" s="180"/>
      <c r="G962" s="149"/>
      <c r="H962" s="146"/>
      <c r="I962" s="145"/>
      <c r="J962" s="145"/>
      <c r="K962" s="146"/>
      <c r="L962" s="145"/>
      <c r="M962" s="682"/>
      <c r="N962" s="116"/>
      <c r="O962" s="116"/>
    </row>
    <row r="963" spans="1:15" ht="12.75" customHeight="1" x14ac:dyDescent="0.25">
      <c r="A963" s="116"/>
      <c r="B963" s="193"/>
      <c r="C963" s="180"/>
      <c r="D963" s="149"/>
      <c r="E963" s="150"/>
      <c r="F963" s="149"/>
      <c r="G963" s="149"/>
      <c r="H963" s="146"/>
      <c r="I963" s="145"/>
      <c r="J963" s="145"/>
      <c r="K963" s="146"/>
      <c r="L963" s="145"/>
      <c r="M963" s="682"/>
      <c r="N963" s="116"/>
      <c r="O963" s="116"/>
    </row>
    <row r="964" spans="1:15" ht="12.75" customHeight="1" x14ac:dyDescent="0.25">
      <c r="A964" s="116"/>
      <c r="B964" s="116"/>
      <c r="C964" s="145"/>
      <c r="D964" s="146"/>
      <c r="E964" s="150"/>
      <c r="F964" s="149"/>
      <c r="G964" s="149"/>
      <c r="H964" s="146"/>
      <c r="I964" s="145"/>
      <c r="J964" s="145"/>
      <c r="K964" s="146"/>
      <c r="L964" s="145"/>
      <c r="M964" s="682"/>
      <c r="N964" s="116"/>
      <c r="O964" s="116"/>
    </row>
    <row r="965" spans="1:15" ht="12.75" customHeight="1" x14ac:dyDescent="0.25">
      <c r="A965" s="116"/>
      <c r="B965" s="154"/>
      <c r="C965" s="155"/>
      <c r="D965" s="146"/>
      <c r="E965" s="150"/>
      <c r="F965" s="149"/>
      <c r="G965" s="149"/>
      <c r="H965" s="146"/>
      <c r="I965" s="145"/>
      <c r="J965" s="145"/>
      <c r="K965" s="146"/>
      <c r="L965" s="145"/>
      <c r="M965" s="682"/>
      <c r="N965" s="116"/>
      <c r="O965" s="116"/>
    </row>
    <row r="966" spans="1:15" ht="12.75" customHeight="1" x14ac:dyDescent="0.25">
      <c r="A966" s="116"/>
      <c r="B966" s="193"/>
      <c r="C966" s="180"/>
      <c r="D966" s="149"/>
      <c r="E966" s="150"/>
      <c r="F966" s="149"/>
      <c r="G966" s="149"/>
      <c r="H966" s="146"/>
      <c r="I966" s="145"/>
      <c r="J966" s="145"/>
      <c r="K966" s="146"/>
      <c r="L966" s="145"/>
      <c r="M966" s="682"/>
      <c r="N966" s="116"/>
      <c r="O966" s="116"/>
    </row>
    <row r="967" spans="1:15" ht="12.75" customHeight="1" x14ac:dyDescent="0.25">
      <c r="A967" s="116"/>
      <c r="B967" s="193"/>
      <c r="C967" s="180"/>
      <c r="D967" s="149"/>
      <c r="E967" s="150"/>
      <c r="F967" s="149"/>
      <c r="G967" s="149"/>
      <c r="H967" s="146"/>
      <c r="I967" s="145"/>
      <c r="J967" s="145"/>
      <c r="K967" s="146"/>
      <c r="L967" s="145"/>
      <c r="M967" s="682"/>
      <c r="N967" s="116"/>
      <c r="O967" s="116"/>
    </row>
    <row r="968" spans="1:15" ht="12.75" customHeight="1" x14ac:dyDescent="0.25">
      <c r="A968" s="116"/>
      <c r="B968" s="193"/>
      <c r="C968" s="180"/>
      <c r="D968" s="149"/>
      <c r="E968" s="150"/>
      <c r="F968" s="149"/>
      <c r="G968" s="149"/>
      <c r="H968" s="146"/>
      <c r="I968" s="145"/>
      <c r="J968" s="145"/>
      <c r="K968" s="146"/>
      <c r="L968" s="145"/>
      <c r="M968" s="682"/>
      <c r="N968" s="116"/>
      <c r="O968" s="116"/>
    </row>
    <row r="969" spans="1:15" ht="12.75" customHeight="1" x14ac:dyDescent="0.25">
      <c r="A969" s="116"/>
      <c r="B969" s="193"/>
      <c r="C969" s="180"/>
      <c r="D969" s="149"/>
      <c r="E969" s="150"/>
      <c r="F969" s="149"/>
      <c r="G969" s="149"/>
      <c r="H969" s="146"/>
      <c r="I969" s="145"/>
      <c r="J969" s="145"/>
      <c r="K969" s="146"/>
      <c r="L969" s="145"/>
      <c r="M969" s="682"/>
      <c r="N969" s="116"/>
      <c r="O969" s="116"/>
    </row>
    <row r="970" spans="1:15" ht="12.75" customHeight="1" x14ac:dyDescent="0.25">
      <c r="A970" s="116"/>
      <c r="B970" s="193"/>
      <c r="C970" s="180"/>
      <c r="D970" s="149"/>
      <c r="E970" s="150"/>
      <c r="F970" s="149"/>
      <c r="G970" s="149"/>
      <c r="H970" s="146"/>
      <c r="I970" s="145"/>
      <c r="J970" s="145"/>
      <c r="K970" s="146"/>
      <c r="L970" s="145"/>
      <c r="M970" s="682"/>
      <c r="N970" s="116"/>
      <c r="O970" s="116"/>
    </row>
    <row r="971" spans="1:15" ht="12.75" customHeight="1" x14ac:dyDescent="0.25">
      <c r="A971" s="116"/>
      <c r="B971" s="193"/>
      <c r="C971" s="180"/>
      <c r="D971" s="149"/>
      <c r="E971" s="150"/>
      <c r="F971" s="149"/>
      <c r="G971" s="149"/>
      <c r="H971" s="146"/>
      <c r="I971" s="145"/>
      <c r="J971" s="145"/>
      <c r="K971" s="146"/>
      <c r="L971" s="145"/>
      <c r="M971" s="682"/>
      <c r="N971" s="116"/>
      <c r="O971" s="116"/>
    </row>
    <row r="972" spans="1:15" ht="12.75" customHeight="1" x14ac:dyDescent="0.25">
      <c r="A972" s="116"/>
      <c r="B972" s="171"/>
      <c r="C972" s="116"/>
      <c r="D972" s="145"/>
      <c r="E972" s="146"/>
      <c r="F972" s="145"/>
      <c r="G972" s="145"/>
      <c r="H972" s="146"/>
      <c r="I972" s="145"/>
      <c r="J972" s="145"/>
      <c r="K972" s="146"/>
      <c r="L972" s="145"/>
      <c r="M972" s="682"/>
      <c r="N972" s="116"/>
      <c r="O972" s="116"/>
    </row>
    <row r="973" spans="1:15" ht="12.75" customHeight="1" x14ac:dyDescent="0.25">
      <c r="A973" s="116"/>
      <c r="B973" s="171"/>
      <c r="C973" s="116"/>
      <c r="D973" s="145"/>
      <c r="E973" s="146"/>
      <c r="F973" s="145"/>
      <c r="G973" s="145"/>
      <c r="H973" s="146"/>
      <c r="I973" s="145"/>
      <c r="J973" s="145"/>
      <c r="K973" s="146"/>
      <c r="L973" s="145"/>
      <c r="M973" s="682"/>
      <c r="N973" s="116"/>
      <c r="O973" s="116"/>
    </row>
    <row r="974" spans="1:15" ht="12.75" customHeight="1" x14ac:dyDescent="0.25">
      <c r="A974" s="116"/>
      <c r="B974" s="194"/>
      <c r="C974" s="116"/>
      <c r="D974" s="145"/>
      <c r="E974" s="146"/>
      <c r="F974" s="145"/>
      <c r="G974" s="145"/>
      <c r="H974" s="146"/>
      <c r="I974" s="145"/>
      <c r="J974" s="145"/>
      <c r="K974" s="146"/>
      <c r="L974" s="145"/>
      <c r="M974" s="682"/>
      <c r="N974" s="116"/>
      <c r="O974" s="116"/>
    </row>
    <row r="975" spans="1:15" ht="12.75" customHeight="1" x14ac:dyDescent="0.25">
      <c r="A975" s="116"/>
      <c r="B975" s="194"/>
      <c r="C975" s="116"/>
      <c r="D975" s="145"/>
      <c r="E975" s="146"/>
      <c r="F975" s="145"/>
      <c r="G975" s="145"/>
      <c r="H975" s="146"/>
      <c r="I975" s="145"/>
      <c r="J975" s="145"/>
      <c r="K975" s="146"/>
      <c r="L975" s="145"/>
      <c r="M975" s="682"/>
      <c r="N975" s="116"/>
      <c r="O975" s="116"/>
    </row>
    <row r="976" spans="1:15" ht="12.75" customHeight="1" x14ac:dyDescent="0.25">
      <c r="A976" s="116"/>
      <c r="B976" s="194"/>
      <c r="C976" s="126"/>
      <c r="D976" s="145"/>
      <c r="E976" s="146"/>
      <c r="F976" s="145"/>
      <c r="G976" s="145"/>
      <c r="H976" s="146"/>
      <c r="I976" s="145"/>
      <c r="J976" s="145"/>
      <c r="K976" s="146"/>
      <c r="L976" s="145"/>
      <c r="M976" s="682"/>
      <c r="N976" s="116"/>
      <c r="O976" s="116"/>
    </row>
    <row r="977" spans="1:15" ht="12.75" customHeight="1" x14ac:dyDescent="0.25">
      <c r="A977" s="116"/>
      <c r="B977" s="194"/>
      <c r="C977" s="126"/>
      <c r="D977" s="145"/>
      <c r="E977" s="146"/>
      <c r="F977" s="145"/>
      <c r="G977" s="145"/>
      <c r="H977" s="146"/>
      <c r="I977" s="145"/>
      <c r="J977" s="145"/>
      <c r="K977" s="146"/>
      <c r="L977" s="145"/>
      <c r="M977" s="682"/>
      <c r="N977" s="116"/>
      <c r="O977" s="116"/>
    </row>
    <row r="978" spans="1:15" ht="12.75" customHeight="1" x14ac:dyDescent="0.25">
      <c r="A978" s="116"/>
      <c r="B978" s="194"/>
      <c r="C978" s="126"/>
      <c r="D978" s="145"/>
      <c r="E978" s="146"/>
      <c r="F978" s="145"/>
      <c r="G978" s="145"/>
      <c r="H978" s="146"/>
      <c r="I978" s="145"/>
      <c r="J978" s="145"/>
      <c r="K978" s="146"/>
      <c r="L978" s="145"/>
      <c r="M978" s="682"/>
      <c r="N978" s="116"/>
      <c r="O978" s="116"/>
    </row>
    <row r="979" spans="1:15" ht="12.75" customHeight="1" x14ac:dyDescent="0.25">
      <c r="A979" s="116"/>
      <c r="B979" s="194"/>
      <c r="C979" s="126"/>
      <c r="D979" s="145"/>
      <c r="E979" s="146"/>
      <c r="F979" s="145"/>
      <c r="G979" s="145"/>
      <c r="H979" s="146"/>
      <c r="I979" s="145"/>
      <c r="J979" s="145"/>
      <c r="K979" s="146"/>
      <c r="L979" s="145"/>
      <c r="M979" s="682"/>
      <c r="N979" s="116"/>
      <c r="O979" s="116"/>
    </row>
    <row r="980" spans="1:15" ht="12.75" customHeight="1" x14ac:dyDescent="0.25">
      <c r="A980" s="116"/>
      <c r="B980" s="194"/>
      <c r="C980" s="116"/>
      <c r="D980" s="145"/>
      <c r="E980" s="146"/>
      <c r="F980" s="145"/>
      <c r="G980" s="145"/>
      <c r="H980" s="146"/>
      <c r="I980" s="145"/>
      <c r="J980" s="145"/>
      <c r="K980" s="146"/>
      <c r="L980" s="145"/>
      <c r="M980" s="682"/>
      <c r="N980" s="116"/>
      <c r="O980" s="116"/>
    </row>
    <row r="981" spans="1:15" x14ac:dyDescent="0.25">
      <c r="A981" s="116"/>
      <c r="B981" s="116"/>
      <c r="C981" s="116"/>
      <c r="D981" s="116"/>
      <c r="E981" s="116"/>
      <c r="F981" s="116"/>
      <c r="G981" s="116"/>
      <c r="H981" s="116"/>
      <c r="I981" s="116"/>
      <c r="J981" s="116"/>
      <c r="K981" s="116"/>
      <c r="L981" s="116"/>
      <c r="M981" s="126"/>
      <c r="N981" s="116"/>
      <c r="O981" s="116"/>
    </row>
    <row r="982" spans="1:15" x14ac:dyDescent="0.25">
      <c r="A982" s="116"/>
      <c r="B982" s="116"/>
      <c r="C982" s="116"/>
      <c r="D982" s="116"/>
      <c r="E982" s="116"/>
      <c r="F982" s="116"/>
      <c r="G982" s="116"/>
      <c r="H982" s="116"/>
      <c r="I982" s="116"/>
      <c r="J982" s="116"/>
      <c r="K982" s="116"/>
      <c r="L982" s="116"/>
      <c r="M982" s="126"/>
      <c r="N982" s="116"/>
      <c r="O982" s="116"/>
    </row>
    <row r="983" spans="1:15" x14ac:dyDescent="0.25">
      <c r="A983" s="116"/>
      <c r="B983" s="116"/>
      <c r="C983" s="116"/>
      <c r="D983" s="116"/>
      <c r="E983" s="116"/>
      <c r="F983" s="116"/>
      <c r="G983" s="116"/>
      <c r="H983" s="116"/>
      <c r="I983" s="116"/>
      <c r="J983" s="116"/>
      <c r="K983" s="116"/>
      <c r="L983" s="116"/>
      <c r="M983" s="126"/>
      <c r="N983" s="116"/>
      <c r="O983" s="116"/>
    </row>
    <row r="984" spans="1:15" x14ac:dyDescent="0.25">
      <c r="A984" s="116"/>
      <c r="B984" s="116"/>
      <c r="C984" s="116"/>
      <c r="D984" s="116"/>
      <c r="E984" s="116"/>
      <c r="F984" s="116"/>
      <c r="G984" s="116"/>
      <c r="H984" s="116"/>
      <c r="I984" s="116"/>
      <c r="J984" s="116"/>
      <c r="K984" s="116"/>
      <c r="L984" s="116"/>
      <c r="M984" s="126"/>
      <c r="N984" s="116"/>
      <c r="O984" s="116"/>
    </row>
    <row r="985" spans="1:15" x14ac:dyDescent="0.25">
      <c r="A985" s="116"/>
      <c r="B985" s="116"/>
      <c r="C985" s="116"/>
      <c r="D985" s="116"/>
      <c r="E985" s="116"/>
      <c r="F985" s="116"/>
      <c r="G985" s="116"/>
      <c r="H985" s="116"/>
      <c r="I985" s="116"/>
      <c r="J985" s="116"/>
      <c r="K985" s="116"/>
      <c r="L985" s="116"/>
      <c r="M985" s="126"/>
      <c r="N985" s="116"/>
      <c r="O985" s="116"/>
    </row>
    <row r="986" spans="1:15" x14ac:dyDescent="0.25">
      <c r="A986" s="116"/>
      <c r="B986" s="116"/>
      <c r="C986" s="116"/>
      <c r="D986" s="116"/>
      <c r="E986" s="116"/>
      <c r="F986" s="116"/>
      <c r="G986" s="116"/>
      <c r="H986" s="116"/>
      <c r="I986" s="116"/>
      <c r="J986" s="116"/>
      <c r="K986" s="116"/>
      <c r="L986" s="116"/>
      <c r="M986" s="126"/>
      <c r="N986" s="116"/>
      <c r="O986" s="116"/>
    </row>
    <row r="987" spans="1:15" x14ac:dyDescent="0.25">
      <c r="A987" s="116"/>
      <c r="B987" s="116"/>
      <c r="C987" s="116"/>
      <c r="D987" s="116"/>
      <c r="E987" s="116"/>
      <c r="F987" s="116"/>
      <c r="G987" s="116"/>
      <c r="H987" s="116"/>
      <c r="I987" s="116"/>
      <c r="J987" s="116"/>
      <c r="K987" s="116"/>
      <c r="L987" s="116"/>
      <c r="M987" s="126"/>
      <c r="N987" s="116"/>
      <c r="O987" s="116"/>
    </row>
    <row r="988" spans="1:15" x14ac:dyDescent="0.25">
      <c r="A988" s="116"/>
      <c r="B988" s="116"/>
      <c r="C988" s="116"/>
      <c r="D988" s="116"/>
      <c r="E988" s="116"/>
      <c r="F988" s="116"/>
      <c r="G988" s="116"/>
      <c r="H988" s="116"/>
      <c r="I988" s="116"/>
      <c r="J988" s="116"/>
      <c r="K988" s="116"/>
      <c r="L988" s="116"/>
      <c r="M988" s="126"/>
      <c r="N988" s="116"/>
      <c r="O988" s="116"/>
    </row>
    <row r="989" spans="1:15" x14ac:dyDescent="0.25">
      <c r="A989" s="116"/>
      <c r="B989" s="116"/>
      <c r="C989" s="116"/>
      <c r="D989" s="116"/>
      <c r="E989" s="116"/>
      <c r="F989" s="116"/>
      <c r="G989" s="116"/>
      <c r="H989" s="116"/>
      <c r="I989" s="116"/>
      <c r="J989" s="116"/>
      <c r="K989" s="116"/>
      <c r="L989" s="116"/>
      <c r="M989" s="126"/>
      <c r="N989" s="116"/>
      <c r="O989" s="116"/>
    </row>
    <row r="990" spans="1:15" x14ac:dyDescent="0.25">
      <c r="A990" s="116"/>
      <c r="B990" s="116"/>
      <c r="C990" s="116"/>
      <c r="D990" s="116"/>
      <c r="E990" s="116"/>
      <c r="F990" s="116"/>
      <c r="G990" s="116"/>
      <c r="H990" s="116"/>
      <c r="I990" s="116"/>
      <c r="J990" s="116"/>
      <c r="K990" s="116"/>
      <c r="L990" s="116"/>
      <c r="M990" s="126"/>
      <c r="N990" s="116"/>
      <c r="O990" s="116"/>
    </row>
    <row r="991" spans="1:15" x14ac:dyDescent="0.25">
      <c r="A991" s="116"/>
      <c r="B991" s="116"/>
      <c r="C991" s="116"/>
      <c r="D991" s="116"/>
      <c r="E991" s="116"/>
      <c r="F991" s="116"/>
      <c r="G991" s="116"/>
      <c r="H991" s="116"/>
      <c r="I991" s="116"/>
      <c r="J991" s="116"/>
      <c r="K991" s="116"/>
      <c r="L991" s="116"/>
      <c r="M991" s="126"/>
      <c r="N991" s="116"/>
      <c r="O991" s="116"/>
    </row>
    <row r="992" spans="1:15" x14ac:dyDescent="0.25">
      <c r="A992" s="116"/>
      <c r="B992" s="116"/>
      <c r="C992" s="116"/>
      <c r="D992" s="116"/>
      <c r="E992" s="116"/>
      <c r="F992" s="116"/>
      <c r="G992" s="116"/>
      <c r="H992" s="116"/>
      <c r="I992" s="116"/>
      <c r="J992" s="116"/>
      <c r="K992" s="116"/>
      <c r="L992" s="116"/>
      <c r="M992" s="126"/>
      <c r="N992" s="116"/>
      <c r="O992" s="116"/>
    </row>
    <row r="993" spans="1:15" x14ac:dyDescent="0.25">
      <c r="A993" s="116"/>
      <c r="B993" s="116"/>
      <c r="C993" s="116"/>
      <c r="D993" s="116"/>
      <c r="E993" s="116"/>
      <c r="F993" s="116"/>
      <c r="G993" s="116"/>
      <c r="H993" s="116"/>
      <c r="I993" s="116"/>
      <c r="J993" s="116"/>
      <c r="K993" s="116"/>
      <c r="L993" s="116"/>
      <c r="M993" s="126"/>
      <c r="N993" s="116"/>
      <c r="O993" s="116"/>
    </row>
    <row r="994" spans="1:15" x14ac:dyDescent="0.25">
      <c r="A994" s="116"/>
      <c r="B994" s="116"/>
      <c r="C994" s="116"/>
      <c r="D994" s="116"/>
      <c r="E994" s="116"/>
      <c r="F994" s="116"/>
      <c r="G994" s="116"/>
      <c r="H994" s="116"/>
      <c r="I994" s="116"/>
      <c r="J994" s="116"/>
      <c r="K994" s="116"/>
      <c r="L994" s="116"/>
      <c r="M994" s="126"/>
      <c r="N994" s="116"/>
      <c r="O994" s="116"/>
    </row>
    <row r="995" spans="1:15" x14ac:dyDescent="0.25">
      <c r="A995" s="116"/>
      <c r="B995" s="116"/>
      <c r="C995" s="116"/>
      <c r="D995" s="116"/>
      <c r="E995" s="116"/>
      <c r="F995" s="116"/>
      <c r="G995" s="116"/>
      <c r="H995" s="116"/>
      <c r="I995" s="116"/>
      <c r="J995" s="116"/>
      <c r="K995" s="116"/>
      <c r="L995" s="116"/>
      <c r="M995" s="126"/>
      <c r="N995" s="116"/>
      <c r="O995" s="116"/>
    </row>
    <row r="996" spans="1:15" x14ac:dyDescent="0.25">
      <c r="A996" s="116"/>
      <c r="B996" s="116"/>
      <c r="C996" s="116"/>
      <c r="D996" s="116"/>
      <c r="E996" s="116"/>
      <c r="F996" s="116"/>
      <c r="G996" s="116"/>
      <c r="H996" s="116"/>
      <c r="I996" s="116"/>
      <c r="J996" s="116"/>
      <c r="K996" s="116"/>
      <c r="L996" s="116"/>
      <c r="M996" s="126"/>
      <c r="N996" s="116"/>
      <c r="O996" s="116"/>
    </row>
    <row r="997" spans="1:15" x14ac:dyDescent="0.25">
      <c r="A997" s="116"/>
      <c r="B997" s="116"/>
      <c r="C997" s="116"/>
      <c r="D997" s="116"/>
      <c r="E997" s="116"/>
      <c r="F997" s="116"/>
      <c r="G997" s="116"/>
      <c r="H997" s="116"/>
      <c r="I997" s="116"/>
      <c r="J997" s="116"/>
      <c r="K997" s="116"/>
      <c r="L997" s="116"/>
      <c r="M997" s="126"/>
      <c r="N997" s="116"/>
      <c r="O997" s="116"/>
    </row>
    <row r="998" spans="1:15" x14ac:dyDescent="0.25">
      <c r="A998" s="116"/>
      <c r="B998" s="116"/>
      <c r="C998" s="116"/>
      <c r="D998" s="116"/>
      <c r="E998" s="116"/>
      <c r="F998" s="116"/>
      <c r="G998" s="116"/>
      <c r="H998" s="116"/>
      <c r="I998" s="116"/>
      <c r="J998" s="116"/>
      <c r="K998" s="116"/>
      <c r="L998" s="116"/>
      <c r="M998" s="126"/>
      <c r="N998" s="116"/>
      <c r="O998" s="116"/>
    </row>
    <row r="999" spans="1:15" x14ac:dyDescent="0.25">
      <c r="A999" s="116"/>
      <c r="B999" s="116"/>
      <c r="C999" s="116"/>
      <c r="D999" s="116"/>
      <c r="E999" s="116"/>
      <c r="F999" s="116"/>
      <c r="G999" s="116"/>
      <c r="H999" s="116"/>
      <c r="I999" s="116"/>
      <c r="J999" s="116"/>
      <c r="K999" s="116"/>
      <c r="L999" s="116"/>
      <c r="M999" s="126"/>
      <c r="N999" s="116"/>
      <c r="O999" s="116"/>
    </row>
    <row r="1000" spans="1:15" x14ac:dyDescent="0.25">
      <c r="A1000" s="116"/>
      <c r="B1000" s="116"/>
      <c r="C1000" s="116"/>
      <c r="D1000" s="116"/>
      <c r="E1000" s="116"/>
      <c r="F1000" s="116"/>
      <c r="G1000" s="116"/>
      <c r="H1000" s="116"/>
      <c r="I1000" s="116"/>
      <c r="J1000" s="116"/>
      <c r="K1000" s="116"/>
      <c r="L1000" s="116"/>
      <c r="M1000" s="126"/>
      <c r="N1000" s="116"/>
      <c r="O1000" s="116"/>
    </row>
    <row r="1001" spans="1:15" x14ac:dyDescent="0.25">
      <c r="A1001" s="116"/>
      <c r="B1001" s="116"/>
      <c r="C1001" s="116"/>
      <c r="D1001" s="116"/>
      <c r="E1001" s="116"/>
      <c r="F1001" s="116"/>
      <c r="G1001" s="116"/>
      <c r="H1001" s="116"/>
      <c r="I1001" s="116"/>
      <c r="J1001" s="116"/>
      <c r="K1001" s="116"/>
      <c r="L1001" s="116"/>
      <c r="M1001" s="126"/>
      <c r="N1001" s="116"/>
      <c r="O1001" s="116"/>
    </row>
    <row r="1002" spans="1:15" x14ac:dyDescent="0.25">
      <c r="A1002" s="116"/>
      <c r="B1002" s="116"/>
      <c r="C1002" s="116"/>
      <c r="D1002" s="116"/>
      <c r="E1002" s="116"/>
      <c r="F1002" s="116"/>
      <c r="G1002" s="116"/>
      <c r="H1002" s="116"/>
      <c r="I1002" s="116"/>
      <c r="J1002" s="116"/>
      <c r="K1002" s="116"/>
      <c r="L1002" s="116"/>
      <c r="M1002" s="126"/>
      <c r="N1002" s="116"/>
      <c r="O1002" s="116"/>
    </row>
    <row r="1003" spans="1:15" x14ac:dyDescent="0.25">
      <c r="A1003" s="116"/>
      <c r="B1003" s="116"/>
      <c r="C1003" s="116"/>
      <c r="D1003" s="116"/>
      <c r="E1003" s="116"/>
      <c r="F1003" s="116"/>
      <c r="G1003" s="116"/>
      <c r="H1003" s="116"/>
      <c r="I1003" s="116"/>
      <c r="J1003" s="116"/>
      <c r="K1003" s="116"/>
      <c r="L1003" s="116"/>
      <c r="M1003" s="126"/>
      <c r="N1003" s="116"/>
      <c r="O1003" s="116"/>
    </row>
    <row r="1004" spans="1:15" x14ac:dyDescent="0.25">
      <c r="A1004" s="116"/>
      <c r="B1004" s="116"/>
      <c r="C1004" s="116"/>
      <c r="D1004" s="116"/>
      <c r="E1004" s="116"/>
      <c r="F1004" s="116"/>
      <c r="G1004" s="116"/>
      <c r="H1004" s="116"/>
      <c r="I1004" s="116"/>
      <c r="J1004" s="116"/>
      <c r="K1004" s="116"/>
      <c r="L1004" s="116"/>
      <c r="M1004" s="126"/>
      <c r="N1004" s="116"/>
      <c r="O1004" s="116"/>
    </row>
    <row r="1005" spans="1:15" x14ac:dyDescent="0.25">
      <c r="A1005" s="116"/>
      <c r="B1005" s="116"/>
      <c r="C1005" s="116"/>
      <c r="D1005" s="116"/>
      <c r="E1005" s="116"/>
      <c r="F1005" s="116"/>
      <c r="G1005" s="116"/>
      <c r="H1005" s="116"/>
      <c r="I1005" s="116"/>
      <c r="J1005" s="116"/>
      <c r="K1005" s="116"/>
      <c r="L1005" s="116"/>
      <c r="M1005" s="126"/>
      <c r="N1005" s="116"/>
      <c r="O1005" s="116"/>
    </row>
    <row r="1006" spans="1:15" x14ac:dyDescent="0.25">
      <c r="A1006" s="116"/>
      <c r="B1006" s="116"/>
      <c r="C1006" s="116"/>
      <c r="D1006" s="116"/>
      <c r="E1006" s="116"/>
      <c r="F1006" s="116"/>
      <c r="G1006" s="116"/>
      <c r="H1006" s="116"/>
      <c r="I1006" s="116"/>
      <c r="J1006" s="116"/>
      <c r="K1006" s="116"/>
      <c r="L1006" s="116"/>
      <c r="M1006" s="126"/>
      <c r="N1006" s="116"/>
      <c r="O1006" s="116"/>
    </row>
    <row r="1007" spans="1:15" x14ac:dyDescent="0.25">
      <c r="A1007" s="116"/>
      <c r="B1007" s="116"/>
      <c r="C1007" s="116"/>
      <c r="D1007" s="116"/>
      <c r="E1007" s="116"/>
      <c r="F1007" s="116"/>
      <c r="G1007" s="116"/>
      <c r="H1007" s="116"/>
      <c r="I1007" s="116"/>
      <c r="J1007" s="116"/>
      <c r="K1007" s="116"/>
      <c r="L1007" s="116"/>
      <c r="M1007" s="126"/>
      <c r="N1007" s="116"/>
      <c r="O1007" s="116"/>
    </row>
    <row r="1008" spans="1:15" x14ac:dyDescent="0.25">
      <c r="A1008" s="116"/>
      <c r="B1008" s="116"/>
      <c r="C1008" s="116"/>
      <c r="D1008" s="116"/>
      <c r="E1008" s="116"/>
      <c r="F1008" s="116"/>
      <c r="G1008" s="116"/>
      <c r="H1008" s="116"/>
      <c r="I1008" s="116"/>
      <c r="J1008" s="116"/>
      <c r="K1008" s="116"/>
      <c r="L1008" s="116"/>
      <c r="M1008" s="126"/>
      <c r="N1008" s="116"/>
      <c r="O1008" s="116"/>
    </row>
    <row r="1009" spans="1:15" x14ac:dyDescent="0.25">
      <c r="A1009" s="116"/>
      <c r="B1009" s="116"/>
      <c r="C1009" s="116"/>
      <c r="D1009" s="116"/>
      <c r="E1009" s="116"/>
      <c r="F1009" s="116"/>
      <c r="G1009" s="116"/>
      <c r="H1009" s="116"/>
      <c r="I1009" s="116"/>
      <c r="J1009" s="116"/>
      <c r="K1009" s="116"/>
      <c r="L1009" s="116"/>
      <c r="M1009" s="126"/>
      <c r="N1009" s="116"/>
      <c r="O1009" s="116"/>
    </row>
    <row r="1010" spans="1:15" x14ac:dyDescent="0.25">
      <c r="A1010" s="116"/>
      <c r="B1010" s="116"/>
      <c r="C1010" s="116"/>
      <c r="D1010" s="116"/>
      <c r="E1010" s="116"/>
      <c r="F1010" s="116"/>
      <c r="G1010" s="116"/>
      <c r="H1010" s="116"/>
      <c r="I1010" s="116"/>
      <c r="J1010" s="116"/>
      <c r="K1010" s="116"/>
      <c r="L1010" s="116"/>
      <c r="M1010" s="126"/>
      <c r="N1010" s="116"/>
      <c r="O1010" s="116"/>
    </row>
    <row r="1011" spans="1:15" x14ac:dyDescent="0.25">
      <c r="A1011" s="116"/>
      <c r="B1011" s="195"/>
      <c r="C1011" s="116"/>
      <c r="D1011" s="116"/>
      <c r="E1011" s="116"/>
      <c r="F1011" s="116"/>
      <c r="G1011" s="116"/>
      <c r="H1011" s="116"/>
      <c r="I1011" s="116"/>
      <c r="J1011" s="116"/>
      <c r="N1011" s="116"/>
      <c r="O1011" s="116"/>
    </row>
    <row r="1012" spans="1:15" x14ac:dyDescent="0.25">
      <c r="A1012" s="116"/>
      <c r="B1012" s="195"/>
      <c r="C1012" s="116"/>
      <c r="D1012" s="116"/>
      <c r="E1012" s="116"/>
      <c r="F1012" s="116"/>
      <c r="G1012" s="116"/>
      <c r="H1012" s="116"/>
      <c r="I1012" s="116"/>
      <c r="J1012" s="116"/>
      <c r="N1012" s="116"/>
      <c r="O1012" s="116"/>
    </row>
    <row r="1013" spans="1:15" x14ac:dyDescent="0.25">
      <c r="A1013" s="116"/>
      <c r="B1013" s="195"/>
      <c r="C1013" s="116"/>
      <c r="D1013" s="116"/>
      <c r="E1013" s="116"/>
      <c r="F1013" s="116"/>
      <c r="G1013" s="116"/>
      <c r="H1013" s="116"/>
      <c r="I1013" s="116"/>
      <c r="J1013" s="116"/>
      <c r="N1013" s="116"/>
      <c r="O1013" s="116"/>
    </row>
    <row r="1014" spans="1:15" x14ac:dyDescent="0.25">
      <c r="A1014" s="116"/>
      <c r="B1014" s="195"/>
      <c r="C1014" s="116"/>
      <c r="D1014" s="116"/>
      <c r="E1014" s="116"/>
      <c r="F1014" s="116"/>
      <c r="G1014" s="116"/>
      <c r="H1014" s="116"/>
      <c r="I1014" s="116"/>
      <c r="J1014" s="116"/>
      <c r="N1014" s="116"/>
      <c r="O1014" s="116"/>
    </row>
    <row r="1015" spans="1:15" x14ac:dyDescent="0.25">
      <c r="A1015" s="116"/>
      <c r="B1015" s="195"/>
      <c r="C1015" s="116"/>
      <c r="D1015" s="116"/>
      <c r="E1015" s="116"/>
      <c r="F1015" s="116"/>
      <c r="G1015" s="116"/>
      <c r="H1015" s="116"/>
      <c r="I1015" s="116"/>
      <c r="J1015" s="116"/>
      <c r="N1015" s="116"/>
      <c r="O1015" s="116"/>
    </row>
    <row r="1016" spans="1:15" x14ac:dyDescent="0.25">
      <c r="A1016" s="116"/>
      <c r="B1016" s="195"/>
      <c r="C1016" s="116"/>
      <c r="D1016" s="116"/>
      <c r="E1016" s="116"/>
      <c r="F1016" s="116"/>
      <c r="G1016" s="116"/>
      <c r="H1016" s="116"/>
      <c r="I1016" s="116"/>
      <c r="J1016" s="116"/>
      <c r="N1016" s="116"/>
      <c r="O1016" s="116"/>
    </row>
    <row r="1017" spans="1:15" x14ac:dyDescent="0.25">
      <c r="A1017" s="116"/>
      <c r="B1017" s="195"/>
      <c r="C1017" s="116"/>
      <c r="D1017" s="116"/>
      <c r="E1017" s="116"/>
      <c r="F1017" s="116"/>
      <c r="G1017" s="116"/>
      <c r="H1017" s="116"/>
      <c r="I1017" s="116"/>
      <c r="J1017" s="116"/>
      <c r="N1017" s="116"/>
      <c r="O1017" s="116"/>
    </row>
    <row r="1018" spans="1:15" x14ac:dyDescent="0.25">
      <c r="A1018" s="116"/>
      <c r="B1018" s="195"/>
      <c r="C1018" s="116"/>
      <c r="D1018" s="116"/>
      <c r="E1018" s="116"/>
      <c r="F1018" s="116"/>
      <c r="G1018" s="116"/>
      <c r="H1018" s="116"/>
      <c r="I1018" s="116"/>
      <c r="J1018" s="116"/>
      <c r="N1018" s="116"/>
      <c r="O1018" s="116"/>
    </row>
    <row r="1019" spans="1:15" x14ac:dyDescent="0.25">
      <c r="A1019" s="116"/>
      <c r="B1019" s="195"/>
      <c r="C1019" s="116"/>
      <c r="D1019" s="116"/>
      <c r="E1019" s="116"/>
      <c r="F1019" s="116"/>
      <c r="G1019" s="116"/>
      <c r="H1019" s="116"/>
      <c r="I1019" s="116"/>
      <c r="J1019" s="116"/>
      <c r="N1019" s="116"/>
      <c r="O1019" s="116"/>
    </row>
    <row r="1020" spans="1:15" x14ac:dyDescent="0.25">
      <c r="A1020" s="116"/>
      <c r="B1020" s="195"/>
      <c r="C1020" s="116"/>
      <c r="D1020" s="116"/>
      <c r="E1020" s="116"/>
      <c r="F1020" s="116"/>
      <c r="G1020" s="116"/>
      <c r="H1020" s="116"/>
      <c r="I1020" s="116"/>
      <c r="J1020" s="116"/>
      <c r="K1020" s="116"/>
      <c r="L1020" s="116"/>
      <c r="M1020" s="126"/>
      <c r="N1020" s="116"/>
      <c r="O1020" s="116"/>
    </row>
    <row r="1021" spans="1:15" x14ac:dyDescent="0.25">
      <c r="A1021" s="116"/>
      <c r="B1021" s="195"/>
      <c r="C1021" s="116"/>
      <c r="D1021" s="116"/>
      <c r="E1021" s="116"/>
      <c r="F1021" s="116"/>
      <c r="G1021" s="116"/>
      <c r="H1021" s="116"/>
      <c r="I1021" s="116"/>
      <c r="J1021" s="116"/>
      <c r="K1021" s="116"/>
      <c r="L1021" s="116"/>
      <c r="M1021" s="126"/>
      <c r="N1021" s="116"/>
      <c r="O1021" s="116"/>
    </row>
    <row r="1022" spans="1:15" x14ac:dyDescent="0.25">
      <c r="A1022" s="116"/>
      <c r="B1022" s="195"/>
      <c r="C1022" s="116"/>
      <c r="D1022" s="116"/>
      <c r="E1022" s="116"/>
      <c r="F1022" s="116"/>
      <c r="G1022" s="116"/>
      <c r="H1022" s="116"/>
      <c r="I1022" s="116"/>
      <c r="J1022" s="116"/>
      <c r="K1022" s="116"/>
      <c r="L1022" s="116"/>
      <c r="M1022" s="126"/>
      <c r="N1022" s="116"/>
      <c r="O1022" s="116"/>
    </row>
    <row r="1023" spans="1:15" x14ac:dyDescent="0.25">
      <c r="A1023" s="116"/>
      <c r="B1023" s="195"/>
      <c r="C1023" s="116"/>
      <c r="D1023" s="116"/>
      <c r="E1023" s="116"/>
      <c r="F1023" s="116"/>
      <c r="G1023" s="116"/>
      <c r="H1023" s="116"/>
      <c r="I1023" s="116"/>
      <c r="J1023" s="116"/>
      <c r="K1023" s="116"/>
      <c r="L1023" s="116"/>
      <c r="M1023" s="126"/>
      <c r="N1023" s="116"/>
      <c r="O1023" s="116"/>
    </row>
    <row r="1024" spans="1:15" x14ac:dyDescent="0.25">
      <c r="A1024" s="116"/>
      <c r="B1024" s="195"/>
      <c r="C1024" s="116"/>
      <c r="D1024" s="116"/>
      <c r="E1024" s="116"/>
      <c r="F1024" s="116"/>
      <c r="G1024" s="116"/>
      <c r="H1024" s="116"/>
      <c r="I1024" s="116"/>
      <c r="J1024" s="116"/>
      <c r="K1024" s="116"/>
      <c r="L1024" s="116"/>
      <c r="M1024" s="126"/>
      <c r="N1024" s="116"/>
    </row>
    <row r="1025" spans="1:14" x14ac:dyDescent="0.25">
      <c r="A1025" s="116"/>
      <c r="B1025" s="195"/>
      <c r="C1025" s="116"/>
      <c r="D1025" s="116"/>
      <c r="E1025" s="116"/>
      <c r="F1025" s="116"/>
      <c r="G1025" s="116"/>
      <c r="H1025" s="116"/>
      <c r="I1025" s="116"/>
      <c r="J1025" s="116"/>
      <c r="K1025" s="116"/>
      <c r="L1025" s="116"/>
      <c r="M1025" s="126"/>
      <c r="N1025" s="116"/>
    </row>
    <row r="1026" spans="1:14" x14ac:dyDescent="0.25">
      <c r="B1026" s="195"/>
      <c r="C1026" s="116"/>
      <c r="D1026" s="116"/>
      <c r="E1026" s="116"/>
      <c r="F1026" s="116"/>
      <c r="G1026" s="116"/>
      <c r="H1026" s="116"/>
      <c r="I1026" s="116"/>
      <c r="J1026" s="116"/>
      <c r="K1026" s="116"/>
      <c r="L1026" s="116"/>
      <c r="M1026" s="126"/>
      <c r="N1026" s="116"/>
    </row>
    <row r="1027" spans="1:14" x14ac:dyDescent="0.25">
      <c r="B1027" s="195"/>
      <c r="C1027" s="116"/>
      <c r="D1027" s="116"/>
      <c r="E1027" s="116"/>
      <c r="F1027" s="116"/>
      <c r="G1027" s="116"/>
      <c r="H1027" s="116"/>
      <c r="I1027" s="116"/>
      <c r="J1027" s="116"/>
      <c r="K1027" s="116"/>
      <c r="L1027" s="116"/>
      <c r="M1027" s="126"/>
      <c r="N1027" s="116"/>
    </row>
    <row r="1028" spans="1:14" x14ac:dyDescent="0.25">
      <c r="B1028" s="195"/>
      <c r="C1028" s="116"/>
      <c r="D1028" s="116"/>
      <c r="E1028" s="116"/>
      <c r="F1028" s="116"/>
      <c r="G1028" s="116"/>
      <c r="H1028" s="116"/>
      <c r="I1028" s="116"/>
      <c r="J1028" s="116"/>
      <c r="K1028" s="116"/>
      <c r="L1028" s="116"/>
      <c r="M1028" s="126"/>
      <c r="N1028" s="116"/>
    </row>
    <row r="1029" spans="1:14" ht="15.75" customHeight="1" x14ac:dyDescent="0.25">
      <c r="B1029" s="196"/>
      <c r="C1029" s="197"/>
      <c r="D1029" s="739"/>
      <c r="E1029" s="736"/>
      <c r="F1029" s="736"/>
      <c r="G1029" s="736"/>
      <c r="H1029" s="736"/>
      <c r="I1029" s="736"/>
      <c r="J1029" s="736"/>
      <c r="K1029" s="736"/>
      <c r="L1029" s="736"/>
      <c r="M1029" s="736"/>
      <c r="N1029" s="116"/>
    </row>
    <row r="1030" spans="1:14" ht="23.25" customHeight="1" x14ac:dyDescent="0.25">
      <c r="B1030" s="196"/>
      <c r="C1030" s="197"/>
      <c r="D1030" s="739"/>
      <c r="E1030" s="737"/>
      <c r="F1030" s="737"/>
      <c r="G1030" s="737"/>
      <c r="H1030" s="737"/>
      <c r="I1030" s="737"/>
      <c r="J1030" s="737"/>
      <c r="K1030" s="737"/>
      <c r="L1030" s="737"/>
      <c r="M1030" s="737"/>
      <c r="N1030" s="116"/>
    </row>
    <row r="1031" spans="1:14" x14ac:dyDescent="0.25">
      <c r="B1031" s="194"/>
      <c r="C1031" s="190"/>
      <c r="D1031" s="739"/>
      <c r="E1031" s="163"/>
      <c r="F1031" s="164"/>
      <c r="G1031" s="163"/>
      <c r="H1031" s="163"/>
      <c r="I1031" s="164"/>
      <c r="J1031" s="163"/>
      <c r="K1031" s="163"/>
      <c r="L1031" s="164"/>
      <c r="M1031" s="562"/>
      <c r="N1031" s="116"/>
    </row>
    <row r="1032" spans="1:14" x14ac:dyDescent="0.25">
      <c r="B1032" s="194"/>
      <c r="C1032" s="165"/>
      <c r="D1032" s="163"/>
      <c r="E1032" s="165"/>
      <c r="F1032" s="146"/>
      <c r="G1032" s="165"/>
      <c r="H1032" s="165"/>
      <c r="I1032" s="146"/>
      <c r="J1032" s="165"/>
      <c r="K1032" s="165"/>
      <c r="L1032" s="146"/>
      <c r="M1032" s="502"/>
      <c r="N1032" s="116"/>
    </row>
    <row r="1033" spans="1:14" x14ac:dyDescent="0.25">
      <c r="B1033" s="194"/>
      <c r="C1033" s="165"/>
      <c r="D1033" s="163"/>
      <c r="E1033" s="165"/>
      <c r="F1033" s="146"/>
      <c r="G1033" s="165"/>
      <c r="H1033" s="165"/>
      <c r="I1033" s="146"/>
      <c r="J1033" s="165"/>
      <c r="K1033" s="165"/>
      <c r="L1033" s="146"/>
      <c r="M1033" s="502"/>
      <c r="N1033" s="116"/>
    </row>
    <row r="1034" spans="1:14" x14ac:dyDescent="0.25">
      <c r="B1034" s="195"/>
      <c r="C1034" s="116"/>
      <c r="D1034" s="116"/>
      <c r="E1034" s="116"/>
      <c r="F1034" s="116"/>
      <c r="G1034" s="116"/>
      <c r="H1034" s="116"/>
      <c r="I1034" s="116"/>
      <c r="J1034" s="116"/>
      <c r="K1034" s="116"/>
      <c r="L1034" s="116"/>
      <c r="M1034" s="126"/>
      <c r="N1034" s="116"/>
    </row>
    <row r="1035" spans="1:14" x14ac:dyDescent="0.25">
      <c r="B1035" s="195"/>
      <c r="C1035" s="116"/>
      <c r="D1035" s="116"/>
      <c r="E1035" s="116"/>
      <c r="F1035" s="116"/>
      <c r="G1035" s="116"/>
      <c r="H1035" s="116"/>
      <c r="I1035" s="116"/>
      <c r="J1035" s="116"/>
      <c r="K1035" s="116"/>
      <c r="L1035" s="116"/>
      <c r="M1035" s="126"/>
      <c r="N1035" s="116"/>
    </row>
    <row r="1036" spans="1:14" x14ac:dyDescent="0.25">
      <c r="B1036" s="195"/>
      <c r="C1036" s="116"/>
      <c r="D1036" s="116"/>
      <c r="E1036" s="116"/>
      <c r="F1036" s="116"/>
      <c r="G1036" s="116"/>
      <c r="H1036" s="116"/>
      <c r="I1036" s="116"/>
      <c r="J1036" s="116"/>
      <c r="K1036" s="116"/>
      <c r="L1036" s="116"/>
      <c r="M1036" s="126"/>
      <c r="N1036" s="116"/>
    </row>
    <row r="1037" spans="1:14" x14ac:dyDescent="0.25">
      <c r="B1037" s="195"/>
      <c r="C1037" s="116"/>
      <c r="D1037" s="116"/>
      <c r="E1037" s="116"/>
      <c r="F1037" s="116"/>
      <c r="G1037" s="116"/>
      <c r="H1037" s="116"/>
      <c r="I1037" s="116"/>
      <c r="J1037" s="116"/>
      <c r="K1037" s="116"/>
      <c r="L1037" s="116"/>
      <c r="M1037" s="126"/>
      <c r="N1037" s="116"/>
    </row>
  </sheetData>
  <mergeCells count="965">
    <mergeCell ref="D691:D692"/>
    <mergeCell ref="F691:F692"/>
    <mergeCell ref="G691:G692"/>
    <mergeCell ref="I691:I692"/>
    <mergeCell ref="J691:J692"/>
    <mergeCell ref="B692:B693"/>
    <mergeCell ref="C692:C693"/>
    <mergeCell ref="E692:E693"/>
    <mergeCell ref="H692:H693"/>
    <mergeCell ref="D693:D694"/>
    <mergeCell ref="F693:F694"/>
    <mergeCell ref="G693:G694"/>
    <mergeCell ref="I693:I694"/>
    <mergeCell ref="J693:J694"/>
    <mergeCell ref="B694:B695"/>
    <mergeCell ref="C694:C695"/>
    <mergeCell ref="E694:E695"/>
    <mergeCell ref="H694:H695"/>
    <mergeCell ref="D695:D696"/>
    <mergeCell ref="F695:F696"/>
    <mergeCell ref="G695:G696"/>
    <mergeCell ref="I695:I696"/>
    <mergeCell ref="J695:J696"/>
    <mergeCell ref="B696:B697"/>
    <mergeCell ref="C696:C697"/>
    <mergeCell ref="E696:E697"/>
    <mergeCell ref="H696:H697"/>
    <mergeCell ref="H690:H691"/>
    <mergeCell ref="G685:G686"/>
    <mergeCell ref="I685:I686"/>
    <mergeCell ref="J685:J686"/>
    <mergeCell ref="B686:B687"/>
    <mergeCell ref="C686:C687"/>
    <mergeCell ref="E686:E687"/>
    <mergeCell ref="H686:H687"/>
    <mergeCell ref="D687:D688"/>
    <mergeCell ref="F687:F688"/>
    <mergeCell ref="G687:G688"/>
    <mergeCell ref="I687:I688"/>
    <mergeCell ref="J687:J688"/>
    <mergeCell ref="B688:B689"/>
    <mergeCell ref="C688:C689"/>
    <mergeCell ref="E688:E689"/>
    <mergeCell ref="H688:H689"/>
    <mergeCell ref="D689:D690"/>
    <mergeCell ref="F689:F690"/>
    <mergeCell ref="G689:G690"/>
    <mergeCell ref="I689:I690"/>
    <mergeCell ref="J689:J690"/>
    <mergeCell ref="B690:B691"/>
    <mergeCell ref="C690:C691"/>
    <mergeCell ref="E690:E691"/>
    <mergeCell ref="B680:B681"/>
    <mergeCell ref="C680:C681"/>
    <mergeCell ref="D680:D682"/>
    <mergeCell ref="E680:E681"/>
    <mergeCell ref="F680:F682"/>
    <mergeCell ref="G680:G682"/>
    <mergeCell ref="H680:H681"/>
    <mergeCell ref="I680:I682"/>
    <mergeCell ref="J680:J682"/>
    <mergeCell ref="B682:B683"/>
    <mergeCell ref="C682:C683"/>
    <mergeCell ref="E682:E683"/>
    <mergeCell ref="H682:H683"/>
    <mergeCell ref="D683:D684"/>
    <mergeCell ref="F683:F684"/>
    <mergeCell ref="G683:G684"/>
    <mergeCell ref="I683:I684"/>
    <mergeCell ref="J683:J684"/>
    <mergeCell ref="B684:B685"/>
    <mergeCell ref="C684:C685"/>
    <mergeCell ref="E684:E685"/>
    <mergeCell ref="H684:H685"/>
    <mergeCell ref="D685:D686"/>
    <mergeCell ref="F685:F686"/>
    <mergeCell ref="B651:B652"/>
    <mergeCell ref="C651:C652"/>
    <mergeCell ref="E651:E652"/>
    <mergeCell ref="H651:H652"/>
    <mergeCell ref="B675:C676"/>
    <mergeCell ref="D675:D677"/>
    <mergeCell ref="E675:G675"/>
    <mergeCell ref="H675:J675"/>
    <mergeCell ref="E676:G676"/>
    <mergeCell ref="H676:J676"/>
    <mergeCell ref="H645:H646"/>
    <mergeCell ref="D646:D647"/>
    <mergeCell ref="F646:F647"/>
    <mergeCell ref="G646:G647"/>
    <mergeCell ref="I646:I647"/>
    <mergeCell ref="J646:J647"/>
    <mergeCell ref="B647:B648"/>
    <mergeCell ref="C647:C648"/>
    <mergeCell ref="E647:E648"/>
    <mergeCell ref="H647:H648"/>
    <mergeCell ref="D648:D649"/>
    <mergeCell ref="F648:F649"/>
    <mergeCell ref="G648:G649"/>
    <mergeCell ref="I648:I649"/>
    <mergeCell ref="J648:J649"/>
    <mergeCell ref="B649:B650"/>
    <mergeCell ref="C649:C650"/>
    <mergeCell ref="E649:E650"/>
    <mergeCell ref="H649:H650"/>
    <mergeCell ref="D650:D651"/>
    <mergeCell ref="F650:F651"/>
    <mergeCell ref="G650:G651"/>
    <mergeCell ref="I650:I651"/>
    <mergeCell ref="J650:J651"/>
    <mergeCell ref="H639:H640"/>
    <mergeCell ref="D640:D641"/>
    <mergeCell ref="F640:F641"/>
    <mergeCell ref="G640:G641"/>
    <mergeCell ref="I640:I641"/>
    <mergeCell ref="J640:J641"/>
    <mergeCell ref="B641:B642"/>
    <mergeCell ref="C641:C642"/>
    <mergeCell ref="E641:E642"/>
    <mergeCell ref="H641:H642"/>
    <mergeCell ref="D642:D643"/>
    <mergeCell ref="F642:F643"/>
    <mergeCell ref="G642:G643"/>
    <mergeCell ref="I642:I643"/>
    <mergeCell ref="J642:J643"/>
    <mergeCell ref="B643:B644"/>
    <mergeCell ref="C643:C644"/>
    <mergeCell ref="E643:E644"/>
    <mergeCell ref="H643:H644"/>
    <mergeCell ref="D644:D645"/>
    <mergeCell ref="F644:F645"/>
    <mergeCell ref="G644:G645"/>
    <mergeCell ref="I644:I645"/>
    <mergeCell ref="J644:J645"/>
    <mergeCell ref="H630:J630"/>
    <mergeCell ref="E631:G631"/>
    <mergeCell ref="H631:J631"/>
    <mergeCell ref="B635:B636"/>
    <mergeCell ref="C635:C636"/>
    <mergeCell ref="D635:D637"/>
    <mergeCell ref="E635:E636"/>
    <mergeCell ref="F635:F637"/>
    <mergeCell ref="G635:G637"/>
    <mergeCell ref="H635:H636"/>
    <mergeCell ref="I635:I637"/>
    <mergeCell ref="J635:J637"/>
    <mergeCell ref="B637:B638"/>
    <mergeCell ref="C637:C638"/>
    <mergeCell ref="E637:E638"/>
    <mergeCell ref="H637:H638"/>
    <mergeCell ref="D638:D639"/>
    <mergeCell ref="F638:F639"/>
    <mergeCell ref="G638:G639"/>
    <mergeCell ref="I638:I639"/>
    <mergeCell ref="J638:J639"/>
    <mergeCell ref="B639:B640"/>
    <mergeCell ref="C639:C640"/>
    <mergeCell ref="E639:E640"/>
    <mergeCell ref="D877:D878"/>
    <mergeCell ref="F877:F878"/>
    <mergeCell ref="E878:E879"/>
    <mergeCell ref="G878:G879"/>
    <mergeCell ref="H878:H879"/>
    <mergeCell ref="C879:C880"/>
    <mergeCell ref="D879:D880"/>
    <mergeCell ref="F879:F880"/>
    <mergeCell ref="E880:E881"/>
    <mergeCell ref="G880:G881"/>
    <mergeCell ref="H880:H881"/>
    <mergeCell ref="C881:C882"/>
    <mergeCell ref="D881:D882"/>
    <mergeCell ref="F881:F882"/>
    <mergeCell ref="B510:C511"/>
    <mergeCell ref="C866:D867"/>
    <mergeCell ref="E866:E868"/>
    <mergeCell ref="F866:H866"/>
    <mergeCell ref="F867:H867"/>
    <mergeCell ref="C871:C872"/>
    <mergeCell ref="D871:D872"/>
    <mergeCell ref="E871:E873"/>
    <mergeCell ref="F871:F872"/>
    <mergeCell ref="G871:G873"/>
    <mergeCell ref="H871:H873"/>
    <mergeCell ref="C873:C874"/>
    <mergeCell ref="D873:D874"/>
    <mergeCell ref="F873:F874"/>
    <mergeCell ref="E874:E875"/>
    <mergeCell ref="G874:G875"/>
    <mergeCell ref="H874:H875"/>
    <mergeCell ref="C875:C876"/>
    <mergeCell ref="D875:D876"/>
    <mergeCell ref="F875:F876"/>
    <mergeCell ref="E876:E877"/>
    <mergeCell ref="G876:G877"/>
    <mergeCell ref="H876:H877"/>
    <mergeCell ref="C877:C878"/>
    <mergeCell ref="B770:C771"/>
    <mergeCell ref="D770:D772"/>
    <mergeCell ref="E770:G770"/>
    <mergeCell ref="E771:G771"/>
    <mergeCell ref="B525:B526"/>
    <mergeCell ref="E525:E526"/>
    <mergeCell ref="D526:D527"/>
    <mergeCell ref="F526:F527"/>
    <mergeCell ref="B527:B528"/>
    <mergeCell ref="E527:E528"/>
    <mergeCell ref="D528:D529"/>
    <mergeCell ref="F528:F529"/>
    <mergeCell ref="C529:C530"/>
    <mergeCell ref="E529:E530"/>
    <mergeCell ref="C525:C526"/>
    <mergeCell ref="G526:G527"/>
    <mergeCell ref="C527:C528"/>
    <mergeCell ref="G528:G529"/>
    <mergeCell ref="B630:C631"/>
    <mergeCell ref="D630:D632"/>
    <mergeCell ref="E630:G630"/>
    <mergeCell ref="B645:B646"/>
    <mergeCell ref="C645:C646"/>
    <mergeCell ref="E645:E646"/>
    <mergeCell ref="F776:F777"/>
    <mergeCell ref="G776:G777"/>
    <mergeCell ref="B777:B778"/>
    <mergeCell ref="C777:C778"/>
    <mergeCell ref="E777:E778"/>
    <mergeCell ref="D778:D779"/>
    <mergeCell ref="F778:F779"/>
    <mergeCell ref="G778:G779"/>
    <mergeCell ref="C779:C780"/>
    <mergeCell ref="E779:E780"/>
    <mergeCell ref="D780:D781"/>
    <mergeCell ref="B779:B780"/>
    <mergeCell ref="D775:D777"/>
    <mergeCell ref="B775:B776"/>
    <mergeCell ref="C775:C776"/>
    <mergeCell ref="E775:E776"/>
    <mergeCell ref="D510:D512"/>
    <mergeCell ref="E510:G510"/>
    <mergeCell ref="E511:G511"/>
    <mergeCell ref="B515:B516"/>
    <mergeCell ref="D515:D517"/>
    <mergeCell ref="E515:E516"/>
    <mergeCell ref="F515:F517"/>
    <mergeCell ref="B517:B518"/>
    <mergeCell ref="E517:E518"/>
    <mergeCell ref="D518:D519"/>
    <mergeCell ref="F518:F519"/>
    <mergeCell ref="B519:B520"/>
    <mergeCell ref="E519:E520"/>
    <mergeCell ref="D520:D521"/>
    <mergeCell ref="F520:F521"/>
    <mergeCell ref="B521:B522"/>
    <mergeCell ref="E521:E522"/>
    <mergeCell ref="D522:D523"/>
    <mergeCell ref="F522:F523"/>
    <mergeCell ref="B523:B524"/>
    <mergeCell ref="E523:E524"/>
    <mergeCell ref="D524:D525"/>
    <mergeCell ref="F524:F525"/>
    <mergeCell ref="G524:G525"/>
    <mergeCell ref="C515:C516"/>
    <mergeCell ref="G515:G517"/>
    <mergeCell ref="C517:C518"/>
    <mergeCell ref="G518:G519"/>
    <mergeCell ref="C519:C520"/>
    <mergeCell ref="G520:G521"/>
    <mergeCell ref="C521:C522"/>
    <mergeCell ref="G522:G523"/>
    <mergeCell ref="C523:C524"/>
    <mergeCell ref="E479:E480"/>
    <mergeCell ref="D480:D481"/>
    <mergeCell ref="F480:F481"/>
    <mergeCell ref="G480:G481"/>
    <mergeCell ref="B481:B482"/>
    <mergeCell ref="C481:C482"/>
    <mergeCell ref="E481:E482"/>
    <mergeCell ref="D482:D483"/>
    <mergeCell ref="F482:F483"/>
    <mergeCell ref="G482:G483"/>
    <mergeCell ref="B483:B484"/>
    <mergeCell ref="C483:C484"/>
    <mergeCell ref="E483:E484"/>
    <mergeCell ref="B464:B465"/>
    <mergeCell ref="C464:C465"/>
    <mergeCell ref="E464:E465"/>
    <mergeCell ref="D465:D466"/>
    <mergeCell ref="F465:F466"/>
    <mergeCell ref="G465:G466"/>
    <mergeCell ref="B466:B467"/>
    <mergeCell ref="C466:C467"/>
    <mergeCell ref="E466:E467"/>
    <mergeCell ref="D467:D468"/>
    <mergeCell ref="F467:F468"/>
    <mergeCell ref="G467:G468"/>
    <mergeCell ref="B468:B469"/>
    <mergeCell ref="C468:C469"/>
    <mergeCell ref="E468:E469"/>
    <mergeCell ref="D461:D462"/>
    <mergeCell ref="E460:E461"/>
    <mergeCell ref="F459:F460"/>
    <mergeCell ref="F461:F462"/>
    <mergeCell ref="G459:G460"/>
    <mergeCell ref="G461:G462"/>
    <mergeCell ref="E462:E463"/>
    <mergeCell ref="D463:D464"/>
    <mergeCell ref="F463:F464"/>
    <mergeCell ref="G463:G464"/>
    <mergeCell ref="E470:E471"/>
    <mergeCell ref="D471:D472"/>
    <mergeCell ref="F471:F472"/>
    <mergeCell ref="G471:G472"/>
    <mergeCell ref="B472:B473"/>
    <mergeCell ref="C472:C473"/>
    <mergeCell ref="E472:E473"/>
    <mergeCell ref="B475:B476"/>
    <mergeCell ref="C475:C476"/>
    <mergeCell ref="E475:E476"/>
    <mergeCell ref="D476:D477"/>
    <mergeCell ref="F476:F477"/>
    <mergeCell ref="G476:G477"/>
    <mergeCell ref="B477:B478"/>
    <mergeCell ref="C477:C478"/>
    <mergeCell ref="E477:E478"/>
    <mergeCell ref="D478:D479"/>
    <mergeCell ref="F478:F479"/>
    <mergeCell ref="G478:G479"/>
    <mergeCell ref="B479:B480"/>
    <mergeCell ref="C479:C480"/>
    <mergeCell ref="D469:D470"/>
    <mergeCell ref="F469:F470"/>
    <mergeCell ref="G469:G470"/>
    <mergeCell ref="B470:B471"/>
    <mergeCell ref="C470:C471"/>
    <mergeCell ref="B449:C450"/>
    <mergeCell ref="D449:D451"/>
    <mergeCell ref="E449:G449"/>
    <mergeCell ref="E450:G450"/>
    <mergeCell ref="B454:B455"/>
    <mergeCell ref="C454:C455"/>
    <mergeCell ref="D454:D456"/>
    <mergeCell ref="E454:E455"/>
    <mergeCell ref="F454:F456"/>
    <mergeCell ref="G454:G456"/>
    <mergeCell ref="B456:B457"/>
    <mergeCell ref="C456:C457"/>
    <mergeCell ref="E456:E457"/>
    <mergeCell ref="D457:D458"/>
    <mergeCell ref="F457:F458"/>
    <mergeCell ref="G457:G458"/>
    <mergeCell ref="B458:B459"/>
    <mergeCell ref="C458:C459"/>
    <mergeCell ref="D459:D460"/>
    <mergeCell ref="B460:B461"/>
    <mergeCell ref="C460:C461"/>
    <mergeCell ref="E458:E459"/>
    <mergeCell ref="B462:B463"/>
    <mergeCell ref="C462:C463"/>
    <mergeCell ref="E347:E348"/>
    <mergeCell ref="D348:D349"/>
    <mergeCell ref="F348:F349"/>
    <mergeCell ref="G348:G349"/>
    <mergeCell ref="B349:B350"/>
    <mergeCell ref="C349:C350"/>
    <mergeCell ref="E349:E350"/>
    <mergeCell ref="D350:D351"/>
    <mergeCell ref="F350:F351"/>
    <mergeCell ref="G350:G351"/>
    <mergeCell ref="B351:B352"/>
    <mergeCell ref="C351:C352"/>
    <mergeCell ref="E351:E352"/>
    <mergeCell ref="D352:D353"/>
    <mergeCell ref="F352:F353"/>
    <mergeCell ref="G352:G353"/>
    <mergeCell ref="B353:B354"/>
    <mergeCell ref="C353:C354"/>
    <mergeCell ref="E353:E354"/>
    <mergeCell ref="G354:G355"/>
    <mergeCell ref="C355:C356"/>
    <mergeCell ref="E355:E356"/>
    <mergeCell ref="G341:G343"/>
    <mergeCell ref="B343:B344"/>
    <mergeCell ref="C343:C344"/>
    <mergeCell ref="E343:E344"/>
    <mergeCell ref="D344:D345"/>
    <mergeCell ref="F344:F345"/>
    <mergeCell ref="G344:G345"/>
    <mergeCell ref="B345:B346"/>
    <mergeCell ref="C345:C346"/>
    <mergeCell ref="E345:E346"/>
    <mergeCell ref="D346:D347"/>
    <mergeCell ref="F346:F347"/>
    <mergeCell ref="G346:G347"/>
    <mergeCell ref="B347:B348"/>
    <mergeCell ref="C347:C348"/>
    <mergeCell ref="E184:E185"/>
    <mergeCell ref="C184:C185"/>
    <mergeCell ref="E176:E177"/>
    <mergeCell ref="D177:D178"/>
    <mergeCell ref="F177:F178"/>
    <mergeCell ref="G177:G178"/>
    <mergeCell ref="B178:B179"/>
    <mergeCell ref="C178:C179"/>
    <mergeCell ref="E178:E179"/>
    <mergeCell ref="D179:D180"/>
    <mergeCell ref="F179:F180"/>
    <mergeCell ref="G179:G180"/>
    <mergeCell ref="B180:B181"/>
    <mergeCell ref="C180:C181"/>
    <mergeCell ref="E180:E181"/>
    <mergeCell ref="D181:D182"/>
    <mergeCell ref="F181:F182"/>
    <mergeCell ref="G181:G182"/>
    <mergeCell ref="B182:B183"/>
    <mergeCell ref="C182:C183"/>
    <mergeCell ref="E182:E183"/>
    <mergeCell ref="D183:D184"/>
    <mergeCell ref="F183:F184"/>
    <mergeCell ref="G183:G184"/>
    <mergeCell ref="B165:C166"/>
    <mergeCell ref="D165:D167"/>
    <mergeCell ref="E165:G165"/>
    <mergeCell ref="E166:G166"/>
    <mergeCell ref="B170:B171"/>
    <mergeCell ref="C170:C171"/>
    <mergeCell ref="D170:D172"/>
    <mergeCell ref="E170:E171"/>
    <mergeCell ref="F170:F172"/>
    <mergeCell ref="G170:G172"/>
    <mergeCell ref="B172:B173"/>
    <mergeCell ref="C172:C173"/>
    <mergeCell ref="E172:E173"/>
    <mergeCell ref="D173:D174"/>
    <mergeCell ref="F173:F174"/>
    <mergeCell ref="G173:G174"/>
    <mergeCell ref="B174:B175"/>
    <mergeCell ref="C174:C175"/>
    <mergeCell ref="E174:E175"/>
    <mergeCell ref="D175:D176"/>
    <mergeCell ref="F175:F176"/>
    <mergeCell ref="G175:G176"/>
    <mergeCell ref="B176:B177"/>
    <mergeCell ref="C176:C177"/>
    <mergeCell ref="L119:L121"/>
    <mergeCell ref="M119:M121"/>
    <mergeCell ref="K127:K128"/>
    <mergeCell ref="K129:K130"/>
    <mergeCell ref="K131:K132"/>
    <mergeCell ref="K133:K134"/>
    <mergeCell ref="L122:L123"/>
    <mergeCell ref="M122:M123"/>
    <mergeCell ref="L124:L125"/>
    <mergeCell ref="M124:M125"/>
    <mergeCell ref="L126:L127"/>
    <mergeCell ref="M126:M127"/>
    <mergeCell ref="L128:L129"/>
    <mergeCell ref="M128:M129"/>
    <mergeCell ref="L130:L131"/>
    <mergeCell ref="M130:M131"/>
    <mergeCell ref="L132:L133"/>
    <mergeCell ref="M132:M133"/>
    <mergeCell ref="K119:K120"/>
    <mergeCell ref="K121:K122"/>
    <mergeCell ref="K123:K124"/>
    <mergeCell ref="K125:K126"/>
    <mergeCell ref="L111:L112"/>
    <mergeCell ref="L113:L114"/>
    <mergeCell ref="M105:M106"/>
    <mergeCell ref="M107:M108"/>
    <mergeCell ref="M109:M110"/>
    <mergeCell ref="M111:M112"/>
    <mergeCell ref="M113:M114"/>
    <mergeCell ref="L115:L117"/>
    <mergeCell ref="M115:M117"/>
    <mergeCell ref="B127:B128"/>
    <mergeCell ref="C127:C128"/>
    <mergeCell ref="E127:E128"/>
    <mergeCell ref="D128:D129"/>
    <mergeCell ref="F128:F129"/>
    <mergeCell ref="G128:G129"/>
    <mergeCell ref="B129:B130"/>
    <mergeCell ref="C129:C130"/>
    <mergeCell ref="E129:E130"/>
    <mergeCell ref="D130:D131"/>
    <mergeCell ref="F130:F131"/>
    <mergeCell ref="G130:G131"/>
    <mergeCell ref="B131:B132"/>
    <mergeCell ref="C131:C132"/>
    <mergeCell ref="E131:E132"/>
    <mergeCell ref="D132:D133"/>
    <mergeCell ref="F132:F133"/>
    <mergeCell ref="G132:G133"/>
    <mergeCell ref="B133:B134"/>
    <mergeCell ref="C133:C134"/>
    <mergeCell ref="E133:E134"/>
    <mergeCell ref="B119:B120"/>
    <mergeCell ref="C119:C120"/>
    <mergeCell ref="D119:D121"/>
    <mergeCell ref="E119:E120"/>
    <mergeCell ref="F119:F121"/>
    <mergeCell ref="G119:G121"/>
    <mergeCell ref="B121:B122"/>
    <mergeCell ref="C121:C122"/>
    <mergeCell ref="E121:E122"/>
    <mergeCell ref="D122:D123"/>
    <mergeCell ref="F122:F123"/>
    <mergeCell ref="G122:G123"/>
    <mergeCell ref="B123:B124"/>
    <mergeCell ref="C123:C124"/>
    <mergeCell ref="E123:E124"/>
    <mergeCell ref="D124:D125"/>
    <mergeCell ref="F124:F125"/>
    <mergeCell ref="G124:G125"/>
    <mergeCell ref="B125:B126"/>
    <mergeCell ref="C125:C126"/>
    <mergeCell ref="E125:E126"/>
    <mergeCell ref="D126:D127"/>
    <mergeCell ref="F126:F127"/>
    <mergeCell ref="G126:G127"/>
    <mergeCell ref="B116:B117"/>
    <mergeCell ref="C116:C117"/>
    <mergeCell ref="D115:D116"/>
    <mergeCell ref="E116:E117"/>
    <mergeCell ref="B110:B111"/>
    <mergeCell ref="C110:C111"/>
    <mergeCell ref="B112:B113"/>
    <mergeCell ref="C112:C113"/>
    <mergeCell ref="D113:D114"/>
    <mergeCell ref="E108:E109"/>
    <mergeCell ref="E110:E111"/>
    <mergeCell ref="E112:E113"/>
    <mergeCell ref="E114:E115"/>
    <mergeCell ref="B108:B109"/>
    <mergeCell ref="C108:C109"/>
    <mergeCell ref="D107:D108"/>
    <mergeCell ref="D109:D110"/>
    <mergeCell ref="D111:D112"/>
    <mergeCell ref="B114:B115"/>
    <mergeCell ref="C114:C115"/>
    <mergeCell ref="G109:G110"/>
    <mergeCell ref="F111:F112"/>
    <mergeCell ref="G111:G112"/>
    <mergeCell ref="F113:F114"/>
    <mergeCell ref="G113:G114"/>
    <mergeCell ref="F115:F116"/>
    <mergeCell ref="G115:G116"/>
    <mergeCell ref="F107:F108"/>
    <mergeCell ref="G107:G108"/>
    <mergeCell ref="K95:M95"/>
    <mergeCell ref="K96:M96"/>
    <mergeCell ref="H100:H101"/>
    <mergeCell ref="I100:I102"/>
    <mergeCell ref="J100:J102"/>
    <mergeCell ref="H102:H103"/>
    <mergeCell ref="K1029:M1029"/>
    <mergeCell ref="K1030:M1030"/>
    <mergeCell ref="K100:K101"/>
    <mergeCell ref="L100:L102"/>
    <mergeCell ref="M100:M102"/>
    <mergeCell ref="K102:K103"/>
    <mergeCell ref="L103:L104"/>
    <mergeCell ref="M103:M104"/>
    <mergeCell ref="K104:K105"/>
    <mergeCell ref="K106:K107"/>
    <mergeCell ref="K108:K109"/>
    <mergeCell ref="K110:K111"/>
    <mergeCell ref="K112:K113"/>
    <mergeCell ref="K114:K115"/>
    <mergeCell ref="K116:K117"/>
    <mergeCell ref="L105:L106"/>
    <mergeCell ref="L107:L108"/>
    <mergeCell ref="L109:L110"/>
    <mergeCell ref="H1029:J1029"/>
    <mergeCell ref="H1030:J1030"/>
    <mergeCell ref="B95:C96"/>
    <mergeCell ref="D95:D97"/>
    <mergeCell ref="E95:G95"/>
    <mergeCell ref="E96:G96"/>
    <mergeCell ref="H95:J95"/>
    <mergeCell ref="H96:J96"/>
    <mergeCell ref="F100:F102"/>
    <mergeCell ref="F103:F104"/>
    <mergeCell ref="G100:G102"/>
    <mergeCell ref="G103:G104"/>
    <mergeCell ref="E104:E105"/>
    <mergeCell ref="C104:C105"/>
    <mergeCell ref="D100:D102"/>
    <mergeCell ref="D103:D104"/>
    <mergeCell ref="E100:E101"/>
    <mergeCell ref="E102:E103"/>
    <mergeCell ref="D1029:D1031"/>
    <mergeCell ref="E1029:G1029"/>
    <mergeCell ref="E1030:G1030"/>
    <mergeCell ref="B100:B101"/>
    <mergeCell ref="B102:B103"/>
    <mergeCell ref="F109:F110"/>
    <mergeCell ref="B104:B105"/>
    <mergeCell ref="C100:C101"/>
    <mergeCell ref="C102:C103"/>
    <mergeCell ref="E106:E107"/>
    <mergeCell ref="B106:B107"/>
    <mergeCell ref="C106:C107"/>
    <mergeCell ref="D105:D106"/>
    <mergeCell ref="F105:F106"/>
    <mergeCell ref="G105:G106"/>
    <mergeCell ref="J103:J104"/>
    <mergeCell ref="J105:J106"/>
    <mergeCell ref="J107:J108"/>
    <mergeCell ref="J109:J110"/>
    <mergeCell ref="J111:J112"/>
    <mergeCell ref="J113:J114"/>
    <mergeCell ref="H104:H105"/>
    <mergeCell ref="H129:H130"/>
    <mergeCell ref="H131:H132"/>
    <mergeCell ref="H108:H109"/>
    <mergeCell ref="H110:H111"/>
    <mergeCell ref="H112:H113"/>
    <mergeCell ref="H114:H115"/>
    <mergeCell ref="H116:H117"/>
    <mergeCell ref="I103:I104"/>
    <mergeCell ref="I105:I106"/>
    <mergeCell ref="I107:I108"/>
    <mergeCell ref="I109:I110"/>
    <mergeCell ref="I111:I112"/>
    <mergeCell ref="I113:I114"/>
    <mergeCell ref="I115:I116"/>
    <mergeCell ref="J115:J116"/>
    <mergeCell ref="I122:I123"/>
    <mergeCell ref="I124:I125"/>
    <mergeCell ref="H133:H134"/>
    <mergeCell ref="I119:I121"/>
    <mergeCell ref="J119:J121"/>
    <mergeCell ref="H119:H120"/>
    <mergeCell ref="H121:H122"/>
    <mergeCell ref="H123:H124"/>
    <mergeCell ref="H125:H126"/>
    <mergeCell ref="H127:H128"/>
    <mergeCell ref="H106:H107"/>
    <mergeCell ref="I126:I127"/>
    <mergeCell ref="I128:I129"/>
    <mergeCell ref="I130:I131"/>
    <mergeCell ref="I132:I133"/>
    <mergeCell ref="J122:J123"/>
    <mergeCell ref="J124:J125"/>
    <mergeCell ref="J126:J127"/>
    <mergeCell ref="J128:J129"/>
    <mergeCell ref="J130:J131"/>
    <mergeCell ref="J132:J133"/>
    <mergeCell ref="J212:J213"/>
    <mergeCell ref="F210:F211"/>
    <mergeCell ref="G210:G211"/>
    <mergeCell ref="B211:B212"/>
    <mergeCell ref="C211:C212"/>
    <mergeCell ref="E211:E212"/>
    <mergeCell ref="B197:B198"/>
    <mergeCell ref="C197:C198"/>
    <mergeCell ref="J199:J201"/>
    <mergeCell ref="E197:E198"/>
    <mergeCell ref="F197:F199"/>
    <mergeCell ref="G197:G199"/>
    <mergeCell ref="B199:B200"/>
    <mergeCell ref="C199:C200"/>
    <mergeCell ref="E199:E200"/>
    <mergeCell ref="J202:J203"/>
    <mergeCell ref="F200:F201"/>
    <mergeCell ref="G200:G201"/>
    <mergeCell ref="B201:B202"/>
    <mergeCell ref="C201:C202"/>
    <mergeCell ref="E201:E202"/>
    <mergeCell ref="J204:J205"/>
    <mergeCell ref="F202:F203"/>
    <mergeCell ref="G202:G203"/>
    <mergeCell ref="J208:J209"/>
    <mergeCell ref="F206:F207"/>
    <mergeCell ref="G206:G207"/>
    <mergeCell ref="B207:B208"/>
    <mergeCell ref="C207:C208"/>
    <mergeCell ref="E207:E208"/>
    <mergeCell ref="J210:J211"/>
    <mergeCell ref="F208:F209"/>
    <mergeCell ref="G208:G209"/>
    <mergeCell ref="B209:B210"/>
    <mergeCell ref="C209:C210"/>
    <mergeCell ref="E209:E210"/>
    <mergeCell ref="D208:D209"/>
    <mergeCell ref="D210:D211"/>
    <mergeCell ref="B193:C194"/>
    <mergeCell ref="D193:D195"/>
    <mergeCell ref="E193:G193"/>
    <mergeCell ref="H193:J193"/>
    <mergeCell ref="E194:G194"/>
    <mergeCell ref="H194:J194"/>
    <mergeCell ref="J206:J207"/>
    <mergeCell ref="F204:F205"/>
    <mergeCell ref="G204:G205"/>
    <mergeCell ref="B205:B206"/>
    <mergeCell ref="C205:C206"/>
    <mergeCell ref="E205:E206"/>
    <mergeCell ref="B203:B204"/>
    <mergeCell ref="C203:C204"/>
    <mergeCell ref="E203:E204"/>
    <mergeCell ref="D197:D199"/>
    <mergeCell ref="D200:D201"/>
    <mergeCell ref="D202:D203"/>
    <mergeCell ref="D204:D205"/>
    <mergeCell ref="D206:D207"/>
    <mergeCell ref="L270:L272"/>
    <mergeCell ref="M270:M272"/>
    <mergeCell ref="B272:B273"/>
    <mergeCell ref="C272:C273"/>
    <mergeCell ref="E272:E273"/>
    <mergeCell ref="H272:H273"/>
    <mergeCell ref="D247:D248"/>
    <mergeCell ref="F247:F248"/>
    <mergeCell ref="E234:G234"/>
    <mergeCell ref="B240:B241"/>
    <mergeCell ref="C240:C241"/>
    <mergeCell ref="E240:E241"/>
    <mergeCell ref="D241:D242"/>
    <mergeCell ref="F241:F242"/>
    <mergeCell ref="G241:G242"/>
    <mergeCell ref="B242:B243"/>
    <mergeCell ref="C242:C243"/>
    <mergeCell ref="G243:G244"/>
    <mergeCell ref="B244:B245"/>
    <mergeCell ref="C244:C245"/>
    <mergeCell ref="E244:E245"/>
    <mergeCell ref="D245:D246"/>
    <mergeCell ref="F245:F246"/>
    <mergeCell ref="G245:G246"/>
    <mergeCell ref="L275:L276"/>
    <mergeCell ref="M275:M276"/>
    <mergeCell ref="B276:B277"/>
    <mergeCell ref="C276:C277"/>
    <mergeCell ref="E276:E277"/>
    <mergeCell ref="H276:H277"/>
    <mergeCell ref="B265:C266"/>
    <mergeCell ref="D265:D267"/>
    <mergeCell ref="E265:G265"/>
    <mergeCell ref="H265:J265"/>
    <mergeCell ref="K265:M265"/>
    <mergeCell ref="E266:G266"/>
    <mergeCell ref="H266:J266"/>
    <mergeCell ref="K266:M266"/>
    <mergeCell ref="B270:B271"/>
    <mergeCell ref="C270:C271"/>
    <mergeCell ref="D270:D272"/>
    <mergeCell ref="E270:E271"/>
    <mergeCell ref="F270:F272"/>
    <mergeCell ref="G270:G272"/>
    <mergeCell ref="H270:H271"/>
    <mergeCell ref="I270:I272"/>
    <mergeCell ref="J270:J272"/>
    <mergeCell ref="K270:K271"/>
    <mergeCell ref="L279:L280"/>
    <mergeCell ref="M279:M280"/>
    <mergeCell ref="B280:B281"/>
    <mergeCell ref="C280:C281"/>
    <mergeCell ref="E280:E281"/>
    <mergeCell ref="H280:H281"/>
    <mergeCell ref="K272:K273"/>
    <mergeCell ref="D273:D274"/>
    <mergeCell ref="F273:F274"/>
    <mergeCell ref="G273:G274"/>
    <mergeCell ref="I273:I274"/>
    <mergeCell ref="J273:J274"/>
    <mergeCell ref="L273:L274"/>
    <mergeCell ref="M273:M274"/>
    <mergeCell ref="B274:B275"/>
    <mergeCell ref="C274:C275"/>
    <mergeCell ref="E274:E275"/>
    <mergeCell ref="H274:H275"/>
    <mergeCell ref="K274:K275"/>
    <mergeCell ref="D275:D276"/>
    <mergeCell ref="F275:F276"/>
    <mergeCell ref="G275:G276"/>
    <mergeCell ref="I275:I276"/>
    <mergeCell ref="J275:J276"/>
    <mergeCell ref="L283:L284"/>
    <mergeCell ref="M283:M284"/>
    <mergeCell ref="B284:B285"/>
    <mergeCell ref="C284:C285"/>
    <mergeCell ref="E284:E285"/>
    <mergeCell ref="H284:H285"/>
    <mergeCell ref="K276:K277"/>
    <mergeCell ref="D277:D278"/>
    <mergeCell ref="F277:F278"/>
    <mergeCell ref="G277:G278"/>
    <mergeCell ref="I277:I278"/>
    <mergeCell ref="J277:J278"/>
    <mergeCell ref="L277:L278"/>
    <mergeCell ref="M277:M278"/>
    <mergeCell ref="B278:B279"/>
    <mergeCell ref="C278:C279"/>
    <mergeCell ref="E278:E279"/>
    <mergeCell ref="H278:H279"/>
    <mergeCell ref="K278:K279"/>
    <mergeCell ref="D279:D280"/>
    <mergeCell ref="F279:F280"/>
    <mergeCell ref="G279:G280"/>
    <mergeCell ref="I279:I280"/>
    <mergeCell ref="J279:J280"/>
    <mergeCell ref="L285:L287"/>
    <mergeCell ref="M285:M287"/>
    <mergeCell ref="B286:B287"/>
    <mergeCell ref="C286:C287"/>
    <mergeCell ref="E286:E287"/>
    <mergeCell ref="H286:H287"/>
    <mergeCell ref="K286:K287"/>
    <mergeCell ref="K280:K281"/>
    <mergeCell ref="D281:D282"/>
    <mergeCell ref="F281:F282"/>
    <mergeCell ref="G281:G282"/>
    <mergeCell ref="I281:I282"/>
    <mergeCell ref="J281:J282"/>
    <mergeCell ref="L281:L282"/>
    <mergeCell ref="M281:M282"/>
    <mergeCell ref="B282:B283"/>
    <mergeCell ref="C282:C283"/>
    <mergeCell ref="E282:E283"/>
    <mergeCell ref="H282:H283"/>
    <mergeCell ref="K282:K283"/>
    <mergeCell ref="D283:D284"/>
    <mergeCell ref="F283:F284"/>
    <mergeCell ref="G283:G284"/>
    <mergeCell ref="I283:I284"/>
    <mergeCell ref="H289:H290"/>
    <mergeCell ref="I289:I291"/>
    <mergeCell ref="J289:J291"/>
    <mergeCell ref="K284:K285"/>
    <mergeCell ref="D285:D286"/>
    <mergeCell ref="F285:F286"/>
    <mergeCell ref="G285:G286"/>
    <mergeCell ref="I285:I286"/>
    <mergeCell ref="J285:J286"/>
    <mergeCell ref="J283:J284"/>
    <mergeCell ref="K289:K290"/>
    <mergeCell ref="M289:M291"/>
    <mergeCell ref="B291:B292"/>
    <mergeCell ref="C291:C292"/>
    <mergeCell ref="E291:E292"/>
    <mergeCell ref="H291:H292"/>
    <mergeCell ref="K291:K292"/>
    <mergeCell ref="D292:D293"/>
    <mergeCell ref="F292:F293"/>
    <mergeCell ref="G292:G293"/>
    <mergeCell ref="I292:I293"/>
    <mergeCell ref="J292:J293"/>
    <mergeCell ref="L292:L293"/>
    <mergeCell ref="M292:M293"/>
    <mergeCell ref="B293:B294"/>
    <mergeCell ref="C293:C294"/>
    <mergeCell ref="E293:E294"/>
    <mergeCell ref="H293:H294"/>
    <mergeCell ref="K293:K294"/>
    <mergeCell ref="D294:D295"/>
    <mergeCell ref="F294:F295"/>
    <mergeCell ref="G294:G295"/>
    <mergeCell ref="I294:I295"/>
    <mergeCell ref="B289:B290"/>
    <mergeCell ref="C289:C290"/>
    <mergeCell ref="M294:M295"/>
    <mergeCell ref="B295:B296"/>
    <mergeCell ref="C295:C296"/>
    <mergeCell ref="E295:E296"/>
    <mergeCell ref="H295:H296"/>
    <mergeCell ref="K295:K296"/>
    <mergeCell ref="D296:D297"/>
    <mergeCell ref="F296:F297"/>
    <mergeCell ref="G296:G297"/>
    <mergeCell ref="I296:I297"/>
    <mergeCell ref="J296:J297"/>
    <mergeCell ref="L296:L297"/>
    <mergeCell ref="M296:M297"/>
    <mergeCell ref="B297:B298"/>
    <mergeCell ref="C297:C298"/>
    <mergeCell ref="E297:E298"/>
    <mergeCell ref="H297:H298"/>
    <mergeCell ref="K297:K298"/>
    <mergeCell ref="D298:D299"/>
    <mergeCell ref="F298:F299"/>
    <mergeCell ref="G298:G299"/>
    <mergeCell ref="I298:I299"/>
    <mergeCell ref="J294:J295"/>
    <mergeCell ref="L294:L295"/>
    <mergeCell ref="M302:M303"/>
    <mergeCell ref="B303:B304"/>
    <mergeCell ref="C303:C304"/>
    <mergeCell ref="E303:E304"/>
    <mergeCell ref="H303:H304"/>
    <mergeCell ref="K303:K304"/>
    <mergeCell ref="C191:E191"/>
    <mergeCell ref="J298:J299"/>
    <mergeCell ref="L298:L299"/>
    <mergeCell ref="M298:M299"/>
    <mergeCell ref="B299:B300"/>
    <mergeCell ref="C299:C300"/>
    <mergeCell ref="E299:E300"/>
    <mergeCell ref="H299:H300"/>
    <mergeCell ref="K299:K300"/>
    <mergeCell ref="D300:D301"/>
    <mergeCell ref="F300:F301"/>
    <mergeCell ref="G300:G301"/>
    <mergeCell ref="I300:I301"/>
    <mergeCell ref="J300:J301"/>
    <mergeCell ref="L300:L301"/>
    <mergeCell ref="M300:M301"/>
    <mergeCell ref="B301:B302"/>
    <mergeCell ref="C301:C302"/>
    <mergeCell ref="J302:J303"/>
    <mergeCell ref="L302:L303"/>
    <mergeCell ref="E301:E302"/>
    <mergeCell ref="H301:H302"/>
    <mergeCell ref="K301:K302"/>
    <mergeCell ref="D302:D303"/>
    <mergeCell ref="F302:F303"/>
    <mergeCell ref="G302:G303"/>
    <mergeCell ref="I302:I303"/>
    <mergeCell ref="L289:L291"/>
    <mergeCell ref="D289:D291"/>
    <mergeCell ref="E289:E290"/>
    <mergeCell ref="F289:F291"/>
    <mergeCell ref="G289:G291"/>
    <mergeCell ref="B215:G215"/>
    <mergeCell ref="B234:C235"/>
    <mergeCell ref="D234:D236"/>
    <mergeCell ref="E235:G235"/>
    <mergeCell ref="D238:D240"/>
    <mergeCell ref="F238:F240"/>
    <mergeCell ref="G238:G240"/>
    <mergeCell ref="E242:E243"/>
    <mergeCell ref="D243:D244"/>
    <mergeCell ref="F243:F244"/>
    <mergeCell ref="B238:B239"/>
    <mergeCell ref="C238:C239"/>
    <mergeCell ref="E238:E239"/>
    <mergeCell ref="G247:G248"/>
    <mergeCell ref="B248:B249"/>
    <mergeCell ref="C248:C249"/>
    <mergeCell ref="E248:E249"/>
    <mergeCell ref="D249:D250"/>
    <mergeCell ref="F249:F250"/>
    <mergeCell ref="D354:D355"/>
    <mergeCell ref="F354:F355"/>
    <mergeCell ref="B336:C337"/>
    <mergeCell ref="D336:D338"/>
    <mergeCell ref="E336:G336"/>
    <mergeCell ref="B246:B247"/>
    <mergeCell ref="C246:C247"/>
    <mergeCell ref="E246:E247"/>
    <mergeCell ref="G249:G250"/>
    <mergeCell ref="B250:B251"/>
    <mergeCell ref="C250:C251"/>
    <mergeCell ref="E250:E251"/>
    <mergeCell ref="D251:D252"/>
    <mergeCell ref="F251:F252"/>
    <mergeCell ref="G251:G252"/>
    <mergeCell ref="B252:B253"/>
    <mergeCell ref="C252:C253"/>
    <mergeCell ref="E252:E253"/>
    <mergeCell ref="E337:G337"/>
    <mergeCell ref="B341:B342"/>
    <mergeCell ref="C341:C342"/>
    <mergeCell ref="D341:D343"/>
    <mergeCell ref="E341:E342"/>
    <mergeCell ref="F341:F343"/>
  </mergeCells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Header>&amp;RVýkaz výměr  SO 05</oddHeader>
    <oddFooter>&amp;L&amp;F&amp;C&amp;A]&amp;R&amp;10&amp;P/&amp;N</oddFooter>
  </headerFooter>
  <rowBreaks count="12" manualBreakCount="12">
    <brk id="54" min="1" max="12" man="1"/>
    <brk id="89" min="1" max="12" man="1"/>
    <brk id="160" min="1" max="12" man="1"/>
    <brk id="230" min="1" max="12" man="1"/>
    <brk id="311" min="1" max="12" man="1"/>
    <brk id="386" min="1" max="12" man="1"/>
    <brk id="445" min="1" max="12" man="1"/>
    <brk id="506" min="1" max="12" man="1"/>
    <brk id="568" min="1" max="12" man="1"/>
    <brk id="725" min="1" max="12" man="1"/>
    <brk id="783" min="1" max="12" man="1"/>
    <brk id="862" min="1" max="12" man="1"/>
  </rowBreaks>
  <colBreaks count="1" manualBreakCount="1">
    <brk id="1" max="913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3"/>
  <sheetViews>
    <sheetView zoomScale="130" zoomScaleNormal="130" zoomScaleSheetLayoutView="85" workbookViewId="0">
      <selection activeCell="L94" sqref="L94"/>
    </sheetView>
  </sheetViews>
  <sheetFormatPr defaultRowHeight="12.75" x14ac:dyDescent="0.2"/>
  <cols>
    <col min="1" max="1" width="2.7109375" style="38" customWidth="1"/>
    <col min="2" max="2" width="4.7109375" style="38" customWidth="1"/>
    <col min="3" max="3" width="8.140625" style="38" bestFit="1" customWidth="1"/>
    <col min="4" max="4" width="19.28515625" style="38" customWidth="1"/>
    <col min="5" max="5" width="9.5703125" style="38" customWidth="1"/>
    <col min="6" max="6" width="7" style="38" customWidth="1"/>
    <col min="7" max="7" width="14.7109375" style="38" customWidth="1"/>
    <col min="8" max="8" width="10.7109375" style="38" customWidth="1"/>
    <col min="9" max="9" width="8.28515625" style="38" customWidth="1"/>
    <col min="10" max="10" width="8.5703125" style="38" customWidth="1"/>
    <col min="11" max="11" width="8.28515625" style="38" customWidth="1"/>
    <col min="12" max="12" width="7.140625" style="38" customWidth="1"/>
    <col min="13" max="13" width="8.85546875" style="38" customWidth="1"/>
    <col min="14" max="14" width="8.42578125" style="38" customWidth="1"/>
    <col min="15" max="15" width="11.42578125" style="38" bestFit="1" customWidth="1"/>
    <col min="16" max="16" width="9.140625" style="38"/>
    <col min="17" max="17" width="11.42578125" style="38" bestFit="1" customWidth="1"/>
    <col min="18" max="18" width="9.140625" style="38"/>
    <col min="19" max="19" width="11.28515625" style="38" customWidth="1"/>
    <col min="20" max="16384" width="9.140625" style="38"/>
  </cols>
  <sheetData>
    <row r="1" spans="2:11" ht="15" x14ac:dyDescent="0.25">
      <c r="B1" s="1"/>
      <c r="C1" s="58" t="s">
        <v>19</v>
      </c>
      <c r="D1" s="59"/>
      <c r="E1" s="58"/>
      <c r="F1" s="59"/>
    </row>
    <row r="2" spans="2:11" ht="15" x14ac:dyDescent="0.25">
      <c r="B2" s="1"/>
      <c r="C2" s="60" t="s">
        <v>17</v>
      </c>
      <c r="D2" s="59"/>
      <c r="E2" s="60"/>
      <c r="F2" s="59"/>
    </row>
    <row r="3" spans="2:11" ht="15" x14ac:dyDescent="0.25">
      <c r="B3" s="1"/>
      <c r="C3" s="61" t="s">
        <v>0</v>
      </c>
      <c r="D3" s="62"/>
      <c r="E3" s="61"/>
      <c r="F3" s="62"/>
    </row>
    <row r="4" spans="2:11" ht="15" x14ac:dyDescent="0.25">
      <c r="B4" s="1"/>
      <c r="C4" s="61" t="s">
        <v>1</v>
      </c>
      <c r="D4" s="62"/>
      <c r="E4" s="61"/>
      <c r="F4" s="62"/>
    </row>
    <row r="5" spans="2:11" ht="15" x14ac:dyDescent="0.25">
      <c r="B5" s="1"/>
      <c r="C5" s="63" t="s">
        <v>779</v>
      </c>
      <c r="D5" s="62"/>
      <c r="E5" s="63"/>
      <c r="F5" s="62"/>
    </row>
    <row r="6" spans="2:11" ht="15" x14ac:dyDescent="0.25">
      <c r="B6" s="1"/>
      <c r="C6" s="1"/>
      <c r="D6" s="1"/>
      <c r="E6" s="1"/>
      <c r="F6" s="1"/>
    </row>
    <row r="7" spans="2:11" ht="15" x14ac:dyDescent="0.25">
      <c r="B7" s="1"/>
      <c r="C7" s="60" t="s">
        <v>18</v>
      </c>
      <c r="D7" s="1"/>
      <c r="E7" s="1"/>
      <c r="F7" s="1"/>
    </row>
    <row r="8" spans="2:11" ht="15" x14ac:dyDescent="0.25">
      <c r="B8" s="1"/>
      <c r="C8" s="60" t="s">
        <v>461</v>
      </c>
      <c r="D8" s="42"/>
      <c r="E8" s="60"/>
      <c r="F8" s="42"/>
    </row>
    <row r="10" spans="2:11" x14ac:dyDescent="0.2">
      <c r="B10" s="14"/>
      <c r="C10" s="10" t="s">
        <v>110</v>
      </c>
      <c r="D10" s="10" t="s">
        <v>111</v>
      </c>
      <c r="E10" s="12"/>
      <c r="F10" s="13"/>
      <c r="G10" s="15"/>
      <c r="H10" s="15"/>
      <c r="I10" s="16"/>
    </row>
    <row r="11" spans="2:11" x14ac:dyDescent="0.2">
      <c r="B11" s="14"/>
      <c r="C11" s="32" t="s">
        <v>112</v>
      </c>
      <c r="D11" s="26" t="s">
        <v>185</v>
      </c>
      <c r="E11" s="15"/>
      <c r="F11" s="16"/>
      <c r="G11" s="15"/>
      <c r="H11" s="15"/>
      <c r="I11" s="16"/>
    </row>
    <row r="12" spans="2:11" x14ac:dyDescent="0.2">
      <c r="B12" s="14"/>
      <c r="C12" s="32" t="s">
        <v>78</v>
      </c>
      <c r="D12" s="26"/>
      <c r="E12" s="15"/>
      <c r="F12" s="16"/>
      <c r="G12" s="15"/>
      <c r="H12" s="15"/>
      <c r="I12" s="16"/>
      <c r="J12" s="28"/>
      <c r="K12" s="28"/>
    </row>
    <row r="13" spans="2:11" x14ac:dyDescent="0.2">
      <c r="B13" s="14"/>
      <c r="C13" s="32" t="s">
        <v>184</v>
      </c>
      <c r="D13" s="26"/>
      <c r="E13" s="15">
        <v>3.1</v>
      </c>
      <c r="F13" s="16" t="s">
        <v>7</v>
      </c>
      <c r="G13" s="15"/>
      <c r="H13" s="15"/>
      <c r="I13" s="16"/>
      <c r="J13" s="28"/>
      <c r="K13" s="28"/>
    </row>
    <row r="14" spans="2:11" x14ac:dyDescent="0.2">
      <c r="B14" s="14"/>
      <c r="C14" s="31" t="s">
        <v>141</v>
      </c>
      <c r="D14" s="26"/>
      <c r="E14" s="15">
        <v>75.5</v>
      </c>
      <c r="F14" s="16" t="s">
        <v>7</v>
      </c>
      <c r="G14" s="15"/>
      <c r="H14" s="15"/>
      <c r="I14" s="16"/>
      <c r="J14" s="28"/>
      <c r="K14" s="28"/>
    </row>
    <row r="15" spans="2:11" x14ac:dyDescent="0.2">
      <c r="B15" s="14"/>
      <c r="C15" s="33" t="s">
        <v>187</v>
      </c>
      <c r="D15" s="30"/>
      <c r="E15" s="18">
        <v>0.15</v>
      </c>
      <c r="F15" s="19" t="s">
        <v>7</v>
      </c>
      <c r="G15" s="18"/>
      <c r="H15" s="18"/>
      <c r="I15" s="16"/>
      <c r="J15" s="28"/>
      <c r="K15" s="28"/>
    </row>
    <row r="16" spans="2:11" x14ac:dyDescent="0.2">
      <c r="B16" s="14"/>
      <c r="C16" s="32" t="s">
        <v>22</v>
      </c>
      <c r="D16" s="26"/>
      <c r="E16" s="15"/>
      <c r="F16" s="16"/>
      <c r="G16" s="25">
        <f>E13*E14*E15</f>
        <v>35.107500000000002</v>
      </c>
      <c r="H16" s="15" t="s">
        <v>24</v>
      </c>
      <c r="I16" s="16"/>
      <c r="J16" s="28"/>
      <c r="K16" s="28"/>
    </row>
    <row r="17" spans="2:11" x14ac:dyDescent="0.2">
      <c r="B17" s="14"/>
      <c r="C17" s="32"/>
      <c r="D17" s="26"/>
      <c r="E17" s="15"/>
      <c r="F17" s="16"/>
      <c r="G17" s="15"/>
      <c r="H17" s="15"/>
      <c r="I17" s="16"/>
      <c r="J17" s="28"/>
      <c r="K17" s="28"/>
    </row>
    <row r="18" spans="2:11" x14ac:dyDescent="0.2">
      <c r="B18" s="14"/>
      <c r="C18" s="32" t="s">
        <v>186</v>
      </c>
      <c r="D18" s="26"/>
      <c r="E18" s="15"/>
      <c r="F18" s="16"/>
      <c r="G18" s="15"/>
      <c r="H18" s="15"/>
      <c r="I18" s="16"/>
      <c r="J18" s="28"/>
      <c r="K18" s="28"/>
    </row>
    <row r="19" spans="2:11" x14ac:dyDescent="0.2">
      <c r="B19" s="14"/>
      <c r="C19" s="374" t="s">
        <v>21</v>
      </c>
      <c r="D19" s="26"/>
      <c r="E19" s="15">
        <v>1</v>
      </c>
      <c r="F19" s="16" t="s">
        <v>23</v>
      </c>
      <c r="G19" s="15"/>
      <c r="H19" s="15"/>
      <c r="I19" s="16"/>
      <c r="J19" s="28"/>
      <c r="K19" s="28"/>
    </row>
    <row r="20" spans="2:11" x14ac:dyDescent="0.2">
      <c r="B20" s="14"/>
      <c r="C20" s="33" t="s">
        <v>26</v>
      </c>
      <c r="D20" s="30"/>
      <c r="E20" s="18">
        <v>7.5</v>
      </c>
      <c r="F20" s="19" t="s">
        <v>7</v>
      </c>
      <c r="G20" s="18"/>
      <c r="H20" s="18"/>
      <c r="I20" s="16"/>
      <c r="J20" s="28"/>
      <c r="K20" s="28"/>
    </row>
    <row r="21" spans="2:11" x14ac:dyDescent="0.2">
      <c r="B21" s="14"/>
      <c r="C21" s="32" t="s">
        <v>22</v>
      </c>
      <c r="D21" s="26"/>
      <c r="E21" s="15"/>
      <c r="F21" s="16"/>
      <c r="G21" s="15">
        <f>E19*E20</f>
        <v>7.5</v>
      </c>
      <c r="H21" s="15" t="s">
        <v>24</v>
      </c>
      <c r="I21" s="16"/>
      <c r="J21" s="28"/>
      <c r="K21" s="28"/>
    </row>
    <row r="22" spans="2:11" x14ac:dyDescent="0.2">
      <c r="B22" s="14"/>
      <c r="C22" s="429"/>
      <c r="D22" s="27"/>
      <c r="E22" s="15"/>
      <c r="F22" s="16"/>
      <c r="G22" s="15"/>
      <c r="H22" s="15"/>
      <c r="I22" s="16"/>
      <c r="J22" s="28"/>
      <c r="K22" s="28"/>
    </row>
    <row r="23" spans="2:11" x14ac:dyDescent="0.2">
      <c r="B23" s="14"/>
      <c r="C23" s="429" t="s">
        <v>87</v>
      </c>
      <c r="D23" s="27"/>
      <c r="E23" s="15"/>
      <c r="F23" s="16"/>
      <c r="G23" s="15"/>
      <c r="H23" s="15"/>
      <c r="I23" s="16"/>
      <c r="J23" s="28"/>
      <c r="K23" s="28"/>
    </row>
    <row r="24" spans="2:11" x14ac:dyDescent="0.2">
      <c r="B24" s="14"/>
      <c r="C24" s="429" t="s">
        <v>26</v>
      </c>
      <c r="D24" s="27">
        <v>1.8</v>
      </c>
      <c r="E24" s="51" t="s">
        <v>7</v>
      </c>
      <c r="F24" s="16"/>
      <c r="G24" s="15"/>
      <c r="H24" s="15"/>
      <c r="I24" s="16"/>
      <c r="J24" s="28"/>
      <c r="K24" s="28"/>
    </row>
    <row r="25" spans="2:11" x14ac:dyDescent="0.2">
      <c r="B25" s="14"/>
      <c r="C25" s="199" t="s">
        <v>184</v>
      </c>
      <c r="D25" s="26">
        <v>1</v>
      </c>
      <c r="E25" s="51" t="s">
        <v>7</v>
      </c>
      <c r="F25" s="16"/>
      <c r="G25" s="15"/>
      <c r="H25" s="15"/>
      <c r="I25" s="16"/>
      <c r="J25" s="28"/>
      <c r="K25" s="28"/>
    </row>
    <row r="26" spans="2:11" x14ac:dyDescent="0.2">
      <c r="B26" s="14"/>
      <c r="C26" s="423" t="s">
        <v>569</v>
      </c>
      <c r="D26" s="30">
        <v>0.1</v>
      </c>
      <c r="E26" s="52" t="s">
        <v>7</v>
      </c>
      <c r="F26" s="19"/>
      <c r="G26" s="18"/>
      <c r="H26" s="18"/>
      <c r="I26" s="16"/>
      <c r="J26" s="28"/>
      <c r="K26" s="28"/>
    </row>
    <row r="27" spans="2:11" x14ac:dyDescent="0.2">
      <c r="B27" s="14"/>
      <c r="C27" s="199" t="s">
        <v>22</v>
      </c>
      <c r="D27" s="26"/>
      <c r="E27" s="15"/>
      <c r="F27" s="16"/>
      <c r="G27" s="15">
        <f>D24*D25*D26</f>
        <v>0.18000000000000002</v>
      </c>
      <c r="H27" s="51" t="s">
        <v>24</v>
      </c>
      <c r="I27" s="16"/>
      <c r="J27" s="28"/>
      <c r="K27" s="28"/>
    </row>
    <row r="28" spans="2:11" x14ac:dyDescent="0.2">
      <c r="B28" s="14"/>
      <c r="C28" s="199" t="s">
        <v>619</v>
      </c>
      <c r="D28" s="26"/>
      <c r="E28" s="15"/>
      <c r="F28" s="16"/>
      <c r="G28" s="15"/>
      <c r="H28" s="15"/>
      <c r="I28" s="16"/>
      <c r="J28" s="28"/>
      <c r="K28" s="28"/>
    </row>
    <row r="29" spans="2:11" x14ac:dyDescent="0.2">
      <c r="B29" s="14"/>
      <c r="C29" s="199" t="s">
        <v>26</v>
      </c>
      <c r="D29" s="26">
        <v>3.5</v>
      </c>
      <c r="E29" s="51" t="s">
        <v>7</v>
      </c>
      <c r="F29" s="16"/>
      <c r="G29" s="15"/>
      <c r="H29" s="15"/>
      <c r="I29" s="16"/>
      <c r="J29" s="28"/>
      <c r="K29" s="28"/>
    </row>
    <row r="30" spans="2:11" x14ac:dyDescent="0.2">
      <c r="B30" s="14"/>
      <c r="C30" s="199" t="s">
        <v>184</v>
      </c>
      <c r="D30" s="26">
        <v>1.7</v>
      </c>
      <c r="E30" s="51" t="s">
        <v>7</v>
      </c>
      <c r="F30" s="16"/>
      <c r="G30" s="15"/>
      <c r="H30" s="15"/>
      <c r="I30" s="16"/>
      <c r="J30" s="28"/>
      <c r="K30" s="28"/>
    </row>
    <row r="31" spans="2:11" x14ac:dyDescent="0.2">
      <c r="B31" s="14"/>
      <c r="C31" s="423" t="s">
        <v>569</v>
      </c>
      <c r="D31" s="30">
        <v>0.2</v>
      </c>
      <c r="E31" s="52" t="s">
        <v>7</v>
      </c>
      <c r="F31" s="19"/>
      <c r="G31" s="18"/>
      <c r="H31" s="18"/>
      <c r="I31" s="16"/>
      <c r="J31" s="28"/>
      <c r="K31" s="28"/>
    </row>
    <row r="32" spans="2:11" x14ac:dyDescent="0.2">
      <c r="B32" s="14"/>
      <c r="C32" s="199" t="s">
        <v>22</v>
      </c>
      <c r="D32" s="26"/>
      <c r="E32" s="15"/>
      <c r="F32" s="16"/>
      <c r="G32" s="15">
        <f>D29*D30*D31</f>
        <v>1.1900000000000002</v>
      </c>
      <c r="H32" s="51" t="s">
        <v>24</v>
      </c>
      <c r="I32" s="16"/>
      <c r="J32" s="28"/>
      <c r="K32" s="28"/>
    </row>
    <row r="33" spans="2:11" ht="13.5" thickBot="1" x14ac:dyDescent="0.25">
      <c r="B33" s="14"/>
      <c r="C33" s="32"/>
      <c r="D33" s="26"/>
      <c r="E33" s="15"/>
      <c r="F33" s="16"/>
      <c r="G33" s="15"/>
      <c r="H33" s="15"/>
      <c r="I33" s="16"/>
      <c r="J33" s="28"/>
      <c r="K33" s="28"/>
    </row>
    <row r="34" spans="2:11" ht="13.5" thickBot="1" x14ac:dyDescent="0.25">
      <c r="B34" s="14"/>
      <c r="C34" s="34" t="s">
        <v>188</v>
      </c>
      <c r="D34" s="35"/>
      <c r="E34" s="6"/>
      <c r="F34" s="7"/>
      <c r="G34" s="6">
        <f>SUM(G16:G32)</f>
        <v>43.977499999999999</v>
      </c>
      <c r="H34" s="8" t="s">
        <v>24</v>
      </c>
      <c r="I34" s="16"/>
      <c r="J34" s="28"/>
      <c r="K34" s="28"/>
    </row>
    <row r="35" spans="2:11" x14ac:dyDescent="0.2">
      <c r="B35" s="14"/>
      <c r="C35" s="424"/>
      <c r="D35" s="180"/>
      <c r="E35" s="149"/>
      <c r="F35" s="150"/>
      <c r="G35" s="149"/>
      <c r="H35" s="149"/>
      <c r="I35" s="16"/>
      <c r="J35" s="28"/>
      <c r="K35" s="28"/>
    </row>
    <row r="36" spans="2:11" x14ac:dyDescent="0.2">
      <c r="B36" s="14"/>
      <c r="C36" s="10" t="s">
        <v>113</v>
      </c>
      <c r="D36" s="27" t="s">
        <v>193</v>
      </c>
      <c r="E36" s="12"/>
      <c r="F36" s="55"/>
      <c r="G36" s="51"/>
      <c r="H36" s="51"/>
      <c r="I36" s="16"/>
      <c r="J36" s="28"/>
      <c r="K36" s="28"/>
    </row>
    <row r="37" spans="2:11" x14ac:dyDescent="0.2">
      <c r="B37" s="14"/>
      <c r="C37" s="10"/>
      <c r="D37" s="27"/>
      <c r="E37" s="12"/>
      <c r="F37" s="55"/>
      <c r="G37" s="51"/>
      <c r="H37" s="51"/>
      <c r="I37" s="16"/>
      <c r="J37" s="28"/>
      <c r="K37" s="28"/>
    </row>
    <row r="38" spans="2:11" x14ac:dyDescent="0.2">
      <c r="B38" s="14"/>
      <c r="C38" s="56" t="s">
        <v>427</v>
      </c>
      <c r="D38" s="27"/>
      <c r="E38" s="430"/>
      <c r="F38" s="430"/>
      <c r="G38" s="430"/>
      <c r="H38" s="51"/>
      <c r="I38" s="16"/>
      <c r="J38" s="28"/>
      <c r="K38" s="28"/>
    </row>
    <row r="39" spans="2:11" x14ac:dyDescent="0.2">
      <c r="B39" s="14"/>
      <c r="C39" s="56" t="s">
        <v>192</v>
      </c>
      <c r="D39" s="65"/>
      <c r="E39" s="51">
        <v>8.4</v>
      </c>
      <c r="F39" s="55" t="s">
        <v>23</v>
      </c>
      <c r="G39" s="51"/>
      <c r="H39" s="51"/>
      <c r="I39" s="16"/>
      <c r="J39" s="28"/>
      <c r="K39" s="28"/>
    </row>
    <row r="40" spans="2:11" x14ac:dyDescent="0.2">
      <c r="B40" s="14"/>
      <c r="C40" s="399" t="s">
        <v>26</v>
      </c>
      <c r="D40" s="431"/>
      <c r="E40" s="52">
        <v>41.3</v>
      </c>
      <c r="F40" s="57" t="s">
        <v>7</v>
      </c>
      <c r="G40" s="52"/>
      <c r="H40" s="51"/>
      <c r="I40" s="16"/>
      <c r="J40" s="28"/>
      <c r="K40" s="28"/>
    </row>
    <row r="41" spans="2:11" x14ac:dyDescent="0.2">
      <c r="B41" s="14"/>
      <c r="C41" s="56" t="s">
        <v>22</v>
      </c>
      <c r="D41" s="27"/>
      <c r="E41" s="12"/>
      <c r="F41" s="55"/>
      <c r="G41" s="432">
        <f>E39*E40</f>
        <v>346.92</v>
      </c>
      <c r="H41" s="51" t="s">
        <v>24</v>
      </c>
      <c r="I41" s="16"/>
      <c r="J41" s="28"/>
      <c r="K41" s="28"/>
    </row>
    <row r="42" spans="2:11" x14ac:dyDescent="0.2">
      <c r="B42" s="14"/>
      <c r="C42" s="56" t="s">
        <v>428</v>
      </c>
      <c r="D42" s="27"/>
      <c r="E42" s="430"/>
      <c r="F42" s="430"/>
      <c r="G42" s="430"/>
      <c r="H42" s="51"/>
      <c r="I42" s="16"/>
      <c r="J42" s="28"/>
      <c r="K42" s="28"/>
    </row>
    <row r="43" spans="2:11" x14ac:dyDescent="0.2">
      <c r="B43" s="14"/>
      <c r="C43" s="56" t="s">
        <v>192</v>
      </c>
      <c r="D43" s="65"/>
      <c r="E43" s="51">
        <v>8.6999999999999993</v>
      </c>
      <c r="F43" s="55" t="s">
        <v>23</v>
      </c>
      <c r="G43" s="51"/>
      <c r="H43" s="51"/>
      <c r="I43" s="16"/>
      <c r="J43" s="28"/>
      <c r="K43" s="28"/>
    </row>
    <row r="44" spans="2:11" x14ac:dyDescent="0.2">
      <c r="B44" s="14"/>
      <c r="C44" s="399" t="s">
        <v>26</v>
      </c>
      <c r="D44" s="431"/>
      <c r="E44" s="52">
        <v>34</v>
      </c>
      <c r="F44" s="57" t="s">
        <v>7</v>
      </c>
      <c r="G44" s="52"/>
      <c r="H44" s="51"/>
      <c r="I44" s="16"/>
      <c r="J44" s="28"/>
      <c r="K44" s="28"/>
    </row>
    <row r="45" spans="2:11" x14ac:dyDescent="0.2">
      <c r="B45" s="14"/>
      <c r="C45" s="56" t="s">
        <v>22</v>
      </c>
      <c r="D45" s="27"/>
      <c r="E45" s="12"/>
      <c r="F45" s="55"/>
      <c r="G45" s="432">
        <f>E43*E44</f>
        <v>295.79999999999995</v>
      </c>
      <c r="H45" s="51" t="s">
        <v>24</v>
      </c>
      <c r="I45" s="16"/>
      <c r="J45" s="28"/>
      <c r="K45" s="28"/>
    </row>
    <row r="46" spans="2:11" x14ac:dyDescent="0.2">
      <c r="B46" s="65"/>
      <c r="C46" s="56"/>
      <c r="D46" s="27"/>
      <c r="E46" s="12"/>
      <c r="F46" s="55"/>
      <c r="G46" s="51"/>
      <c r="H46" s="51"/>
      <c r="I46" s="16"/>
      <c r="J46" s="28"/>
      <c r="K46" s="28"/>
    </row>
    <row r="47" spans="2:11" ht="14.25" customHeight="1" x14ac:dyDescent="0.2">
      <c r="B47" s="26"/>
      <c r="C47" s="198" t="s">
        <v>194</v>
      </c>
      <c r="D47" s="27"/>
      <c r="E47" s="12"/>
      <c r="F47" s="55"/>
      <c r="G47" s="51"/>
      <c r="H47" s="51"/>
      <c r="I47" s="16"/>
      <c r="J47" s="28"/>
      <c r="K47" s="28"/>
    </row>
    <row r="48" spans="2:11" x14ac:dyDescent="0.2">
      <c r="B48" s="26"/>
      <c r="C48" s="198" t="s">
        <v>195</v>
      </c>
      <c r="D48" s="27"/>
      <c r="E48" s="55">
        <v>1.6</v>
      </c>
      <c r="F48" s="51" t="s">
        <v>23</v>
      </c>
      <c r="G48" s="430"/>
      <c r="H48" s="51"/>
      <c r="I48" s="16"/>
      <c r="J48" s="28"/>
      <c r="K48" s="28"/>
    </row>
    <row r="49" spans="2:11" x14ac:dyDescent="0.2">
      <c r="B49" s="26"/>
      <c r="C49" s="433" t="s">
        <v>141</v>
      </c>
      <c r="D49" s="29"/>
      <c r="E49" s="57">
        <v>6.5</v>
      </c>
      <c r="F49" s="52" t="s">
        <v>7</v>
      </c>
      <c r="G49" s="431"/>
      <c r="H49" s="51"/>
      <c r="I49" s="16"/>
      <c r="J49" s="28"/>
      <c r="K49" s="28"/>
    </row>
    <row r="50" spans="2:11" x14ac:dyDescent="0.2">
      <c r="B50" s="26"/>
      <c r="C50" s="198" t="s">
        <v>22</v>
      </c>
      <c r="D50" s="65"/>
      <c r="E50" s="51"/>
      <c r="F50" s="55"/>
      <c r="G50" s="51">
        <f>E48*E49</f>
        <v>10.4</v>
      </c>
      <c r="H50" s="51" t="s">
        <v>24</v>
      </c>
      <c r="I50" s="16"/>
      <c r="J50" s="28"/>
      <c r="K50" s="28"/>
    </row>
    <row r="51" spans="2:11" x14ac:dyDescent="0.2">
      <c r="B51" s="26"/>
      <c r="C51" s="198" t="s">
        <v>277</v>
      </c>
      <c r="D51" s="65"/>
      <c r="E51" s="51"/>
      <c r="F51" s="55"/>
      <c r="G51" s="51"/>
      <c r="H51" s="51"/>
      <c r="I51" s="16"/>
      <c r="J51" s="28"/>
      <c r="K51" s="28"/>
    </row>
    <row r="52" spans="2:11" x14ac:dyDescent="0.2">
      <c r="B52" s="26"/>
      <c r="C52" s="198" t="s">
        <v>197</v>
      </c>
      <c r="D52" s="65"/>
      <c r="E52" s="51">
        <v>2</v>
      </c>
      <c r="F52" s="55" t="s">
        <v>40</v>
      </c>
      <c r="G52" s="51"/>
      <c r="H52" s="51"/>
      <c r="I52" s="16"/>
      <c r="J52" s="28"/>
      <c r="K52" s="28"/>
    </row>
    <row r="53" spans="2:11" x14ac:dyDescent="0.2">
      <c r="B53" s="26"/>
      <c r="C53" s="198" t="s">
        <v>195</v>
      </c>
      <c r="D53" s="65"/>
      <c r="E53" s="55">
        <v>3.8</v>
      </c>
      <c r="F53" s="51" t="s">
        <v>23</v>
      </c>
      <c r="G53" s="430"/>
      <c r="H53" s="51"/>
      <c r="I53" s="16"/>
      <c r="J53" s="28"/>
      <c r="K53" s="28"/>
    </row>
    <row r="54" spans="2:11" x14ac:dyDescent="0.2">
      <c r="B54" s="26"/>
      <c r="C54" s="433" t="s">
        <v>196</v>
      </c>
      <c r="D54" s="431"/>
      <c r="E54" s="57">
        <v>0.3</v>
      </c>
      <c r="F54" s="52" t="s">
        <v>7</v>
      </c>
      <c r="G54" s="431"/>
      <c r="H54" s="51"/>
      <c r="I54" s="16"/>
      <c r="J54" s="28"/>
      <c r="K54" s="28"/>
    </row>
    <row r="55" spans="2:11" x14ac:dyDescent="0.2">
      <c r="B55" s="26"/>
      <c r="C55" s="198" t="s">
        <v>22</v>
      </c>
      <c r="D55" s="65"/>
      <c r="E55" s="51"/>
      <c r="F55" s="55"/>
      <c r="G55" s="51">
        <f>E53*E54*E52</f>
        <v>2.2799999999999998</v>
      </c>
      <c r="H55" s="51" t="s">
        <v>24</v>
      </c>
      <c r="I55" s="16"/>
      <c r="J55" s="28"/>
      <c r="K55" s="28"/>
    </row>
    <row r="56" spans="2:11" x14ac:dyDescent="0.2">
      <c r="B56" s="26"/>
      <c r="C56" s="193"/>
      <c r="D56" s="180"/>
      <c r="E56" s="149"/>
      <c r="F56" s="150"/>
      <c r="G56" s="149"/>
      <c r="H56" s="149"/>
      <c r="I56" s="16"/>
      <c r="J56" s="28"/>
      <c r="K56" s="28"/>
    </row>
    <row r="57" spans="2:11" x14ac:dyDescent="0.2">
      <c r="B57" s="26"/>
      <c r="C57" s="56" t="s">
        <v>190</v>
      </c>
      <c r="D57" s="65"/>
      <c r="E57" s="51"/>
      <c r="F57" s="55"/>
      <c r="G57" s="51"/>
      <c r="H57" s="51"/>
      <c r="I57" s="16"/>
      <c r="J57" s="28"/>
      <c r="K57" s="28"/>
    </row>
    <row r="58" spans="2:11" x14ac:dyDescent="0.2">
      <c r="B58" s="65"/>
      <c r="C58" s="198" t="s">
        <v>195</v>
      </c>
      <c r="D58" s="65"/>
      <c r="E58" s="55">
        <v>0.7</v>
      </c>
      <c r="F58" s="51" t="s">
        <v>23</v>
      </c>
      <c r="G58" s="430"/>
      <c r="H58" s="51"/>
      <c r="I58" s="16"/>
      <c r="J58" s="28"/>
      <c r="K58" s="28"/>
    </row>
    <row r="59" spans="2:11" x14ac:dyDescent="0.2">
      <c r="B59" s="65"/>
      <c r="C59" s="433" t="s">
        <v>26</v>
      </c>
      <c r="D59" s="431"/>
      <c r="E59" s="57">
        <v>7.1</v>
      </c>
      <c r="F59" s="52" t="s">
        <v>7</v>
      </c>
      <c r="G59" s="431"/>
      <c r="H59" s="51"/>
      <c r="I59" s="16"/>
      <c r="J59" s="28"/>
      <c r="K59" s="28"/>
    </row>
    <row r="60" spans="2:11" x14ac:dyDescent="0.2">
      <c r="B60" s="65"/>
      <c r="C60" s="198" t="s">
        <v>22</v>
      </c>
      <c r="D60" s="65"/>
      <c r="E60" s="51"/>
      <c r="F60" s="55"/>
      <c r="G60" s="51">
        <f>E58*E59</f>
        <v>4.97</v>
      </c>
      <c r="H60" s="51" t="s">
        <v>24</v>
      </c>
      <c r="I60" s="16"/>
      <c r="J60" s="28"/>
      <c r="K60" s="28"/>
    </row>
    <row r="61" spans="2:11" x14ac:dyDescent="0.2">
      <c r="B61" s="65"/>
      <c r="C61" s="56" t="s">
        <v>191</v>
      </c>
      <c r="D61" s="65"/>
      <c r="E61" s="51"/>
      <c r="F61" s="55"/>
      <c r="G61" s="51"/>
      <c r="H61" s="51"/>
      <c r="I61" s="16"/>
      <c r="J61" s="28"/>
      <c r="K61" s="28"/>
    </row>
    <row r="62" spans="2:11" x14ac:dyDescent="0.2">
      <c r="B62" s="65"/>
      <c r="C62" s="198" t="s">
        <v>197</v>
      </c>
      <c r="D62" s="65"/>
      <c r="E62" s="51">
        <v>3</v>
      </c>
      <c r="F62" s="55" t="s">
        <v>40</v>
      </c>
      <c r="G62" s="51"/>
      <c r="H62" s="51"/>
      <c r="I62" s="16"/>
      <c r="J62" s="28"/>
      <c r="K62" s="28"/>
    </row>
    <row r="63" spans="2:11" x14ac:dyDescent="0.2">
      <c r="B63" s="14"/>
      <c r="C63" s="198" t="s">
        <v>195</v>
      </c>
      <c r="D63" s="65"/>
      <c r="E63" s="55">
        <v>0.2</v>
      </c>
      <c r="F63" s="51" t="s">
        <v>23</v>
      </c>
      <c r="G63" s="430"/>
      <c r="H63" s="51"/>
      <c r="I63" s="16"/>
      <c r="J63" s="28"/>
      <c r="K63" s="28"/>
    </row>
    <row r="64" spans="2:11" x14ac:dyDescent="0.2">
      <c r="B64" s="14"/>
      <c r="C64" s="433" t="s">
        <v>198</v>
      </c>
      <c r="D64" s="431"/>
      <c r="E64" s="57">
        <v>1.2</v>
      </c>
      <c r="F64" s="52" t="s">
        <v>7</v>
      </c>
      <c r="G64" s="431"/>
      <c r="H64" s="51"/>
      <c r="I64" s="16"/>
      <c r="J64" s="28"/>
      <c r="K64" s="28"/>
    </row>
    <row r="65" spans="2:11" x14ac:dyDescent="0.2">
      <c r="B65" s="14"/>
      <c r="C65" s="198" t="s">
        <v>22</v>
      </c>
      <c r="D65" s="65"/>
      <c r="E65" s="51"/>
      <c r="F65" s="55"/>
      <c r="G65" s="51">
        <f>E63*E64*E62</f>
        <v>0.72</v>
      </c>
      <c r="H65" s="51" t="s">
        <v>24</v>
      </c>
      <c r="I65" s="16"/>
      <c r="J65" s="28"/>
      <c r="K65" s="28"/>
    </row>
    <row r="66" spans="2:11" x14ac:dyDescent="0.2">
      <c r="B66" s="14"/>
      <c r="C66" s="198"/>
      <c r="D66" s="65"/>
      <c r="E66" s="51"/>
      <c r="F66" s="55"/>
      <c r="G66" s="51"/>
      <c r="H66" s="51"/>
      <c r="I66" s="16"/>
      <c r="J66" s="28"/>
      <c r="K66" s="28"/>
    </row>
    <row r="67" spans="2:11" x14ac:dyDescent="0.2">
      <c r="B67" s="14"/>
      <c r="C67" s="198" t="s">
        <v>621</v>
      </c>
      <c r="D67" s="65"/>
      <c r="E67" s="51"/>
      <c r="F67" s="55"/>
      <c r="G67" s="51"/>
      <c r="H67" s="51"/>
      <c r="I67" s="16"/>
      <c r="J67" s="28"/>
      <c r="K67" s="28"/>
    </row>
    <row r="68" spans="2:11" x14ac:dyDescent="0.2">
      <c r="B68" s="14"/>
      <c r="C68" s="198" t="s">
        <v>31</v>
      </c>
      <c r="D68" s="65"/>
      <c r="E68" s="51">
        <v>0.1</v>
      </c>
      <c r="F68" s="55" t="s">
        <v>23</v>
      </c>
      <c r="G68" s="51"/>
      <c r="H68" s="51"/>
      <c r="I68" s="16"/>
      <c r="J68" s="28"/>
      <c r="K68" s="28"/>
    </row>
    <row r="69" spans="2:11" x14ac:dyDescent="0.2">
      <c r="B69" s="14"/>
      <c r="C69" s="198" t="s">
        <v>30</v>
      </c>
      <c r="D69" s="65"/>
      <c r="E69" s="51">
        <v>0.8</v>
      </c>
      <c r="F69" s="55" t="s">
        <v>7</v>
      </c>
      <c r="G69" s="51"/>
      <c r="H69" s="51"/>
      <c r="I69" s="16"/>
      <c r="J69" s="28"/>
      <c r="K69" s="28"/>
    </row>
    <row r="70" spans="2:11" x14ac:dyDescent="0.2">
      <c r="B70" s="14"/>
      <c r="C70" s="433" t="s">
        <v>622</v>
      </c>
      <c r="D70" s="431"/>
      <c r="E70" s="52">
        <v>64</v>
      </c>
      <c r="F70" s="57" t="s">
        <v>623</v>
      </c>
      <c r="G70" s="52"/>
      <c r="H70" s="52"/>
      <c r="I70" s="16"/>
      <c r="J70" s="28"/>
      <c r="K70" s="28"/>
    </row>
    <row r="71" spans="2:11" x14ac:dyDescent="0.2">
      <c r="B71" s="14"/>
      <c r="C71" s="198" t="s">
        <v>22</v>
      </c>
      <c r="D71" s="65"/>
      <c r="E71" s="51"/>
      <c r="F71" s="55"/>
      <c r="G71" s="51">
        <f>E68*E69*E70</f>
        <v>5.120000000000001</v>
      </c>
      <c r="H71" s="51" t="s">
        <v>24</v>
      </c>
      <c r="I71" s="16"/>
      <c r="J71" s="28"/>
      <c r="K71" s="28"/>
    </row>
    <row r="72" spans="2:11" x14ac:dyDescent="0.2">
      <c r="B72" s="14"/>
      <c r="C72" s="198"/>
      <c r="D72" s="65"/>
      <c r="E72" s="51"/>
      <c r="F72" s="55"/>
      <c r="G72" s="51"/>
      <c r="H72" s="51"/>
      <c r="I72" s="16"/>
      <c r="J72" s="28"/>
      <c r="K72" s="28"/>
    </row>
    <row r="73" spans="2:11" x14ac:dyDescent="0.2">
      <c r="B73" s="14"/>
      <c r="C73" s="198" t="s">
        <v>624</v>
      </c>
      <c r="D73" s="65"/>
      <c r="E73" s="51"/>
      <c r="F73" s="55"/>
      <c r="G73" s="51"/>
      <c r="H73" s="51"/>
      <c r="I73" s="16"/>
      <c r="J73" s="28"/>
      <c r="K73" s="28"/>
    </row>
    <row r="74" spans="2:11" x14ac:dyDescent="0.2">
      <c r="B74" s="14"/>
      <c r="C74" s="198" t="s">
        <v>21</v>
      </c>
      <c r="D74" s="65"/>
      <c r="E74" s="51">
        <v>0.6</v>
      </c>
      <c r="F74" s="55" t="s">
        <v>23</v>
      </c>
      <c r="G74" s="51"/>
      <c r="H74" s="51"/>
      <c r="I74" s="16"/>
      <c r="J74" s="28"/>
      <c r="K74" s="28"/>
    </row>
    <row r="75" spans="2:11" x14ac:dyDescent="0.2">
      <c r="B75" s="14"/>
      <c r="C75" s="433" t="s">
        <v>26</v>
      </c>
      <c r="D75" s="431"/>
      <c r="E75" s="52">
        <v>1.6</v>
      </c>
      <c r="F75" s="57" t="s">
        <v>7</v>
      </c>
      <c r="G75" s="52"/>
      <c r="H75" s="52"/>
      <c r="I75" s="16"/>
      <c r="J75" s="28"/>
      <c r="K75" s="28"/>
    </row>
    <row r="76" spans="2:11" x14ac:dyDescent="0.2">
      <c r="B76" s="14"/>
      <c r="C76" s="198" t="s">
        <v>22</v>
      </c>
      <c r="D76" s="65"/>
      <c r="E76" s="51"/>
      <c r="F76" s="55"/>
      <c r="G76" s="281">
        <f>E74*E75</f>
        <v>0.96</v>
      </c>
      <c r="H76" s="51" t="s">
        <v>24</v>
      </c>
      <c r="I76" s="16"/>
      <c r="J76" s="28"/>
      <c r="K76" s="28"/>
    </row>
    <row r="77" spans="2:11" x14ac:dyDescent="0.2">
      <c r="B77" s="14"/>
      <c r="C77" s="198" t="s">
        <v>625</v>
      </c>
      <c r="D77" s="65"/>
      <c r="E77" s="51"/>
      <c r="F77" s="55"/>
      <c r="G77" s="51"/>
      <c r="H77" s="51"/>
      <c r="I77" s="16"/>
      <c r="J77" s="28"/>
      <c r="K77" s="28"/>
    </row>
    <row r="78" spans="2:11" x14ac:dyDescent="0.2">
      <c r="B78" s="14"/>
      <c r="C78" s="198" t="s">
        <v>626</v>
      </c>
      <c r="D78" s="65"/>
      <c r="E78" s="51"/>
      <c r="F78" s="55"/>
      <c r="G78" s="51"/>
      <c r="H78" s="51"/>
      <c r="I78" s="16"/>
      <c r="J78" s="28"/>
      <c r="K78" s="28"/>
    </row>
    <row r="79" spans="2:11" x14ac:dyDescent="0.2">
      <c r="B79" s="14"/>
      <c r="C79" s="198" t="s">
        <v>627</v>
      </c>
      <c r="D79" s="65"/>
      <c r="E79" s="51">
        <v>2</v>
      </c>
      <c r="F79" s="55" t="s">
        <v>23</v>
      </c>
      <c r="G79" s="51"/>
      <c r="H79" s="51"/>
      <c r="I79" s="16"/>
      <c r="J79" s="28"/>
      <c r="K79" s="28"/>
    </row>
    <row r="80" spans="2:11" x14ac:dyDescent="0.2">
      <c r="B80" s="14"/>
      <c r="C80" s="17" t="s">
        <v>32</v>
      </c>
      <c r="D80" s="17"/>
      <c r="E80" s="52">
        <v>0.25</v>
      </c>
      <c r="F80" s="57" t="s">
        <v>7</v>
      </c>
      <c r="G80" s="52"/>
      <c r="H80" s="52"/>
      <c r="I80" s="16"/>
      <c r="J80" s="28"/>
      <c r="K80" s="28"/>
    </row>
    <row r="81" spans="2:14" x14ac:dyDescent="0.2">
      <c r="B81" s="14"/>
      <c r="C81" s="198" t="s">
        <v>22</v>
      </c>
      <c r="D81" s="65"/>
      <c r="E81" s="51"/>
      <c r="F81" s="55"/>
      <c r="G81" s="51">
        <f>E79*E80</f>
        <v>0.5</v>
      </c>
      <c r="H81" s="51" t="s">
        <v>24</v>
      </c>
      <c r="I81" s="16"/>
      <c r="J81" s="28"/>
      <c r="K81" s="28"/>
    </row>
    <row r="82" spans="2:14" x14ac:dyDescent="0.2">
      <c r="B82" s="14"/>
      <c r="C82" s="198" t="s">
        <v>628</v>
      </c>
      <c r="D82" s="65"/>
      <c r="E82" s="51"/>
      <c r="F82" s="55"/>
      <c r="G82" s="51"/>
      <c r="H82" s="51"/>
      <c r="I82" s="16"/>
      <c r="J82" s="28"/>
      <c r="K82" s="28"/>
    </row>
    <row r="83" spans="2:14" x14ac:dyDescent="0.2">
      <c r="B83" s="14"/>
      <c r="C83" s="198" t="s">
        <v>629</v>
      </c>
      <c r="D83" s="65"/>
      <c r="E83" s="51">
        <v>0.8</v>
      </c>
      <c r="F83" s="55" t="s">
        <v>23</v>
      </c>
      <c r="G83" s="51"/>
      <c r="H83" s="51"/>
      <c r="I83" s="16"/>
      <c r="J83" s="28"/>
      <c r="K83" s="28"/>
    </row>
    <row r="84" spans="2:14" x14ac:dyDescent="0.2">
      <c r="B84" s="14"/>
      <c r="C84" s="433" t="s">
        <v>187</v>
      </c>
      <c r="D84" s="431"/>
      <c r="E84" s="52">
        <v>0.3</v>
      </c>
      <c r="F84" s="57" t="s">
        <v>7</v>
      </c>
      <c r="G84" s="52"/>
      <c r="H84" s="52"/>
      <c r="I84" s="16"/>
      <c r="J84" s="28"/>
      <c r="K84" s="28"/>
    </row>
    <row r="85" spans="2:14" x14ac:dyDescent="0.2">
      <c r="B85" s="14"/>
      <c r="C85" s="198" t="s">
        <v>22</v>
      </c>
      <c r="D85" s="65"/>
      <c r="E85" s="51"/>
      <c r="F85" s="55"/>
      <c r="G85" s="51">
        <f>E83*E84</f>
        <v>0.24</v>
      </c>
      <c r="H85" s="51" t="s">
        <v>24</v>
      </c>
      <c r="I85" s="16"/>
      <c r="J85" s="28"/>
      <c r="K85" s="28"/>
    </row>
    <row r="86" spans="2:14" x14ac:dyDescent="0.2">
      <c r="B86" s="14"/>
      <c r="C86" s="198" t="s">
        <v>630</v>
      </c>
      <c r="D86" s="65"/>
      <c r="E86" s="51"/>
      <c r="F86" s="55"/>
      <c r="G86" s="51"/>
      <c r="H86" s="51"/>
      <c r="I86" s="16"/>
      <c r="J86" s="28"/>
      <c r="K86" s="28"/>
    </row>
    <row r="87" spans="2:14" x14ac:dyDescent="0.2">
      <c r="B87" s="14"/>
      <c r="C87" s="198" t="s">
        <v>237</v>
      </c>
      <c r="D87" s="65"/>
      <c r="E87" s="51">
        <v>2</v>
      </c>
      <c r="F87" s="55" t="s">
        <v>40</v>
      </c>
      <c r="G87" s="51"/>
      <c r="H87" s="51"/>
      <c r="I87" s="16"/>
      <c r="J87" s="28"/>
      <c r="K87" s="28"/>
    </row>
    <row r="88" spans="2:14" x14ac:dyDescent="0.2">
      <c r="B88" s="14"/>
      <c r="C88" s="198" t="s">
        <v>220</v>
      </c>
      <c r="D88" s="65"/>
      <c r="E88" s="51">
        <v>0.5</v>
      </c>
      <c r="F88" s="55"/>
      <c r="G88" s="51"/>
      <c r="H88" s="51"/>
      <c r="I88" s="16"/>
      <c r="J88" s="28"/>
      <c r="K88" s="28"/>
    </row>
    <row r="89" spans="2:14" x14ac:dyDescent="0.2">
      <c r="B89" s="14"/>
      <c r="C89" s="433" t="s">
        <v>32</v>
      </c>
      <c r="D89" s="431"/>
      <c r="E89" s="52">
        <v>0.2</v>
      </c>
      <c r="F89" s="57" t="s">
        <v>7</v>
      </c>
      <c r="G89" s="52"/>
      <c r="H89" s="52"/>
      <c r="I89" s="16"/>
      <c r="J89" s="28"/>
      <c r="K89" s="28"/>
    </row>
    <row r="90" spans="2:14" x14ac:dyDescent="0.2">
      <c r="B90" s="14"/>
      <c r="C90" s="198" t="s">
        <v>22</v>
      </c>
      <c r="D90" s="65"/>
      <c r="E90" s="51"/>
      <c r="F90" s="55"/>
      <c r="G90" s="51">
        <f>E88*E89*E87</f>
        <v>0.2</v>
      </c>
      <c r="H90" s="51" t="s">
        <v>24</v>
      </c>
      <c r="I90" s="16"/>
      <c r="J90" s="28"/>
      <c r="K90" s="28"/>
    </row>
    <row r="91" spans="2:14" x14ac:dyDescent="0.2">
      <c r="B91" s="14"/>
      <c r="C91" s="198" t="s">
        <v>630</v>
      </c>
      <c r="D91" s="65"/>
      <c r="E91" s="51"/>
      <c r="F91" s="55"/>
      <c r="G91" s="51"/>
      <c r="H91" s="51"/>
      <c r="I91" s="16"/>
      <c r="J91" s="28"/>
      <c r="K91" s="28"/>
    </row>
    <row r="92" spans="2:14" x14ac:dyDescent="0.2">
      <c r="B92" s="14"/>
      <c r="C92" s="198"/>
      <c r="D92" s="65"/>
      <c r="E92" s="51"/>
      <c r="F92" s="55"/>
      <c r="G92" s="51"/>
      <c r="H92" s="51"/>
      <c r="I92" s="16"/>
      <c r="J92" s="28"/>
      <c r="K92" s="28"/>
    </row>
    <row r="93" spans="2:14" x14ac:dyDescent="0.2">
      <c r="B93" s="14"/>
      <c r="C93" s="198" t="s">
        <v>769</v>
      </c>
      <c r="D93" s="65"/>
      <c r="E93" s="51"/>
      <c r="F93" s="55"/>
      <c r="G93" s="51"/>
      <c r="H93" s="51"/>
      <c r="I93" s="16"/>
      <c r="J93" s="28"/>
      <c r="K93" s="28"/>
    </row>
    <row r="94" spans="2:14" x14ac:dyDescent="0.2">
      <c r="B94" s="14"/>
      <c r="C94" s="198" t="s">
        <v>31</v>
      </c>
      <c r="E94" s="65">
        <v>0.1</v>
      </c>
      <c r="F94" s="55" t="s">
        <v>23</v>
      </c>
      <c r="G94" s="51"/>
      <c r="H94" s="51"/>
      <c r="L94" s="74"/>
      <c r="M94" s="446"/>
      <c r="N94" s="28"/>
    </row>
    <row r="95" spans="2:14" x14ac:dyDescent="0.2">
      <c r="B95" s="14"/>
      <c r="C95" s="198" t="s">
        <v>30</v>
      </c>
      <c r="D95" s="65"/>
      <c r="E95" s="51">
        <v>1.5</v>
      </c>
      <c r="F95" s="55" t="s">
        <v>7</v>
      </c>
      <c r="G95" s="51"/>
      <c r="H95" s="51"/>
      <c r="I95" s="16"/>
      <c r="J95" s="28"/>
      <c r="K95" s="28"/>
    </row>
    <row r="96" spans="2:14" x14ac:dyDescent="0.2">
      <c r="B96" s="14"/>
      <c r="C96" s="433" t="s">
        <v>26</v>
      </c>
      <c r="D96" s="431"/>
      <c r="E96" s="52">
        <v>84</v>
      </c>
      <c r="F96" s="57" t="s">
        <v>7</v>
      </c>
      <c r="G96" s="52"/>
      <c r="H96" s="52"/>
      <c r="I96" s="16"/>
      <c r="J96" s="28"/>
      <c r="K96" s="28"/>
    </row>
    <row r="97" spans="2:11" x14ac:dyDescent="0.2">
      <c r="B97" s="14"/>
      <c r="C97" s="198" t="s">
        <v>22</v>
      </c>
      <c r="D97" s="65"/>
      <c r="E97" s="51"/>
      <c r="F97" s="55"/>
      <c r="G97" s="51">
        <f>E94*E95*E96</f>
        <v>12.600000000000001</v>
      </c>
      <c r="H97" s="51" t="s">
        <v>24</v>
      </c>
      <c r="I97" s="16"/>
      <c r="J97" s="28"/>
      <c r="K97" s="28"/>
    </row>
    <row r="98" spans="2:11" x14ac:dyDescent="0.2">
      <c r="B98" s="14"/>
      <c r="C98" s="198"/>
      <c r="D98" s="65"/>
      <c r="E98" s="51"/>
      <c r="F98" s="55"/>
      <c r="G98" s="51"/>
      <c r="H98" s="51"/>
      <c r="I98" s="16"/>
      <c r="J98" s="28"/>
      <c r="K98" s="28"/>
    </row>
    <row r="99" spans="2:11" ht="13.5" thickBot="1" x14ac:dyDescent="0.25">
      <c r="B99" s="14"/>
      <c r="C99" s="65"/>
      <c r="D99" s="51"/>
      <c r="E99" s="55"/>
      <c r="F99" s="55"/>
      <c r="G99" s="51"/>
      <c r="H99" s="51"/>
      <c r="I99" s="16"/>
      <c r="J99" s="28"/>
      <c r="K99" s="28"/>
    </row>
    <row r="100" spans="2:11" ht="13.5" thickBot="1" x14ac:dyDescent="0.25">
      <c r="B100" s="14"/>
      <c r="C100" s="36" t="s">
        <v>193</v>
      </c>
      <c r="D100" s="6"/>
      <c r="E100" s="317" t="s">
        <v>59</v>
      </c>
      <c r="F100" s="317"/>
      <c r="G100" s="434">
        <f>SUM(G41:G99)</f>
        <v>680.71000000000015</v>
      </c>
      <c r="H100" s="415" t="s">
        <v>24</v>
      </c>
      <c r="I100" s="16"/>
      <c r="J100" s="28"/>
      <c r="K100" s="28"/>
    </row>
    <row r="101" spans="2:11" x14ac:dyDescent="0.2">
      <c r="B101" s="14"/>
      <c r="C101" s="193"/>
      <c r="D101" s="180"/>
      <c r="E101" s="149"/>
      <c r="F101" s="150"/>
      <c r="G101" s="149"/>
      <c r="H101" s="149"/>
      <c r="I101" s="16"/>
      <c r="J101" s="28"/>
    </row>
    <row r="102" spans="2:11" x14ac:dyDescent="0.2">
      <c r="B102" s="14"/>
      <c r="C102" s="37" t="s">
        <v>217</v>
      </c>
      <c r="D102" s="27" t="s">
        <v>218</v>
      </c>
      <c r="E102" s="51"/>
      <c r="F102" s="55"/>
      <c r="G102" s="51"/>
      <c r="H102" s="51"/>
      <c r="I102" s="16"/>
      <c r="J102" s="28"/>
      <c r="K102" s="28"/>
    </row>
    <row r="103" spans="2:11" x14ac:dyDescent="0.2">
      <c r="B103" s="14"/>
      <c r="C103" s="198" t="s">
        <v>223</v>
      </c>
      <c r="D103" s="65" t="s">
        <v>224</v>
      </c>
      <c r="E103" s="51"/>
      <c r="F103" s="55"/>
      <c r="G103" s="51"/>
      <c r="H103" s="51"/>
      <c r="I103" s="16"/>
      <c r="J103" s="28"/>
      <c r="K103" s="28"/>
    </row>
    <row r="104" spans="2:11" x14ac:dyDescent="0.2">
      <c r="B104" s="14"/>
      <c r="C104" s="198"/>
      <c r="D104" s="65" t="s">
        <v>189</v>
      </c>
      <c r="E104" s="51"/>
      <c r="F104" s="55"/>
      <c r="G104" s="51"/>
      <c r="H104" s="51"/>
      <c r="I104" s="16"/>
      <c r="J104" s="28"/>
      <c r="K104" s="28"/>
    </row>
    <row r="105" spans="2:11" x14ac:dyDescent="0.2">
      <c r="B105" s="14"/>
      <c r="C105" s="198"/>
      <c r="D105" s="65" t="s">
        <v>221</v>
      </c>
      <c r="E105" s="51">
        <v>3.7</v>
      </c>
      <c r="F105" s="55" t="s">
        <v>7</v>
      </c>
      <c r="G105" s="51"/>
      <c r="H105" s="51"/>
      <c r="I105" s="16"/>
      <c r="J105" s="28"/>
      <c r="K105" s="28"/>
    </row>
    <row r="106" spans="2:11" x14ac:dyDescent="0.2">
      <c r="B106" s="14"/>
      <c r="C106" s="198"/>
      <c r="D106" s="431" t="s">
        <v>219</v>
      </c>
      <c r="E106" s="52">
        <v>50.1</v>
      </c>
      <c r="F106" s="57" t="s">
        <v>7</v>
      </c>
      <c r="G106" s="52"/>
      <c r="H106" s="51"/>
      <c r="I106" s="16"/>
      <c r="J106" s="28"/>
      <c r="K106" s="28"/>
    </row>
    <row r="107" spans="2:11" x14ac:dyDescent="0.2">
      <c r="B107" s="14"/>
      <c r="C107" s="198"/>
      <c r="D107" s="27" t="s">
        <v>220</v>
      </c>
      <c r="E107" s="12"/>
      <c r="F107" s="13"/>
      <c r="G107" s="12">
        <f>E105*E106</f>
        <v>185.37</v>
      </c>
      <c r="H107" s="12" t="s">
        <v>23</v>
      </c>
      <c r="I107" s="16"/>
      <c r="J107" s="28"/>
      <c r="K107" s="28"/>
    </row>
    <row r="108" spans="2:11" x14ac:dyDescent="0.2">
      <c r="B108" s="14"/>
      <c r="C108" s="198"/>
      <c r="D108" s="27"/>
      <c r="E108" s="12"/>
      <c r="F108" s="13"/>
      <c r="G108" s="12"/>
      <c r="H108" s="12"/>
      <c r="I108" s="16"/>
      <c r="J108" s="28"/>
      <c r="K108" s="28"/>
    </row>
    <row r="109" spans="2:11" x14ac:dyDescent="0.2">
      <c r="B109" s="14"/>
      <c r="C109" s="198" t="s">
        <v>225</v>
      </c>
      <c r="D109" s="65" t="s">
        <v>620</v>
      </c>
      <c r="E109" s="51"/>
      <c r="F109" s="55"/>
      <c r="G109" s="51"/>
      <c r="H109" s="51"/>
      <c r="I109" s="16"/>
      <c r="J109" s="28"/>
      <c r="K109" s="28"/>
    </row>
    <row r="110" spans="2:11" x14ac:dyDescent="0.2">
      <c r="B110" s="14"/>
      <c r="C110" s="198"/>
      <c r="D110" s="65" t="s">
        <v>189</v>
      </c>
      <c r="E110" s="51"/>
      <c r="F110" s="55"/>
      <c r="G110" s="51"/>
      <c r="H110" s="149"/>
      <c r="I110" s="16"/>
      <c r="J110" s="28"/>
      <c r="K110" s="39"/>
    </row>
    <row r="111" spans="2:11" x14ac:dyDescent="0.2">
      <c r="B111" s="14"/>
      <c r="C111" s="198"/>
      <c r="D111" s="65" t="s">
        <v>221</v>
      </c>
      <c r="E111" s="51">
        <v>3.7</v>
      </c>
      <c r="F111" s="55" t="s">
        <v>7</v>
      </c>
      <c r="G111" s="51"/>
      <c r="H111" s="149"/>
      <c r="I111" s="16"/>
      <c r="J111" s="28"/>
      <c r="K111" s="28"/>
    </row>
    <row r="112" spans="2:11" x14ac:dyDescent="0.2">
      <c r="B112" s="14"/>
      <c r="C112" s="198"/>
      <c r="D112" s="431" t="s">
        <v>219</v>
      </c>
      <c r="E112" s="52">
        <v>25.6</v>
      </c>
      <c r="F112" s="57" t="s">
        <v>7</v>
      </c>
      <c r="G112" s="52"/>
      <c r="H112" s="149"/>
      <c r="I112" s="16"/>
      <c r="J112" s="28"/>
      <c r="K112" s="28"/>
    </row>
    <row r="113" spans="2:11" x14ac:dyDescent="0.2">
      <c r="B113" s="14"/>
      <c r="C113" s="198"/>
      <c r="D113" s="27" t="s">
        <v>220</v>
      </c>
      <c r="E113" s="12"/>
      <c r="F113" s="13"/>
      <c r="G113" s="12">
        <f>E111*E112</f>
        <v>94.720000000000013</v>
      </c>
      <c r="H113" s="12" t="s">
        <v>23</v>
      </c>
      <c r="I113" s="16"/>
      <c r="J113" s="28"/>
      <c r="K113" s="28"/>
    </row>
    <row r="114" spans="2:11" x14ac:dyDescent="0.2">
      <c r="B114" s="14"/>
      <c r="C114" s="198"/>
      <c r="D114" s="27"/>
      <c r="E114" s="12"/>
      <c r="F114" s="13"/>
      <c r="G114" s="12"/>
      <c r="H114" s="155"/>
      <c r="I114" s="16"/>
      <c r="J114" s="28"/>
      <c r="K114" s="28"/>
    </row>
    <row r="115" spans="2:11" x14ac:dyDescent="0.2">
      <c r="B115" s="14"/>
      <c r="C115" s="198" t="s">
        <v>227</v>
      </c>
      <c r="D115" s="65" t="s">
        <v>228</v>
      </c>
      <c r="E115" s="51"/>
      <c r="F115" s="55"/>
      <c r="G115" s="51"/>
      <c r="H115" s="51"/>
      <c r="I115" s="16"/>
      <c r="J115" s="28"/>
      <c r="K115" s="39"/>
    </row>
    <row r="116" spans="2:11" x14ac:dyDescent="0.2">
      <c r="B116" s="14"/>
      <c r="C116" s="198"/>
      <c r="D116" s="65" t="s">
        <v>189</v>
      </c>
      <c r="E116" s="51"/>
      <c r="F116" s="55"/>
      <c r="G116" s="51"/>
      <c r="H116" s="51"/>
      <c r="I116" s="16"/>
      <c r="J116" s="28"/>
      <c r="K116" s="28"/>
    </row>
    <row r="117" spans="2:11" x14ac:dyDescent="0.2">
      <c r="B117" s="14"/>
      <c r="C117" s="198"/>
      <c r="D117" s="65" t="s">
        <v>229</v>
      </c>
      <c r="E117" s="51">
        <v>0.6</v>
      </c>
      <c r="F117" s="55" t="s">
        <v>7</v>
      </c>
      <c r="G117" s="51"/>
      <c r="H117" s="51"/>
      <c r="I117" s="16"/>
      <c r="J117" s="28"/>
      <c r="K117" s="28"/>
    </row>
    <row r="118" spans="2:11" x14ac:dyDescent="0.2">
      <c r="B118" s="14"/>
      <c r="C118" s="198"/>
      <c r="D118" s="431" t="s">
        <v>219</v>
      </c>
      <c r="E118" s="52">
        <v>34</v>
      </c>
      <c r="F118" s="57" t="s">
        <v>7</v>
      </c>
      <c r="G118" s="52"/>
      <c r="H118" s="51"/>
      <c r="I118" s="16"/>
      <c r="J118" s="28"/>
      <c r="K118" s="28"/>
    </row>
    <row r="119" spans="2:11" x14ac:dyDescent="0.2">
      <c r="B119" s="14"/>
      <c r="C119" s="198"/>
      <c r="D119" s="65" t="s">
        <v>220</v>
      </c>
      <c r="E119" s="51"/>
      <c r="F119" s="55"/>
      <c r="G119" s="51">
        <f>E117*E118</f>
        <v>20.399999999999999</v>
      </c>
      <c r="H119" s="51" t="s">
        <v>23</v>
      </c>
      <c r="I119" s="16"/>
      <c r="J119" s="28"/>
      <c r="K119" s="28"/>
    </row>
    <row r="120" spans="2:11" x14ac:dyDescent="0.2">
      <c r="B120" s="14"/>
      <c r="C120" s="198"/>
      <c r="D120" s="65" t="s">
        <v>763</v>
      </c>
      <c r="E120" s="51">
        <v>1.4</v>
      </c>
      <c r="F120" s="55" t="s">
        <v>7</v>
      </c>
      <c r="G120" s="51"/>
      <c r="H120" s="51"/>
      <c r="I120" s="16"/>
      <c r="J120" s="28"/>
      <c r="K120" s="28"/>
    </row>
    <row r="121" spans="2:11" x14ac:dyDescent="0.2">
      <c r="B121" s="14"/>
      <c r="C121" s="198"/>
      <c r="D121" s="431" t="s">
        <v>219</v>
      </c>
      <c r="E121" s="52">
        <v>16</v>
      </c>
      <c r="F121" s="57" t="s">
        <v>7</v>
      </c>
      <c r="G121" s="52"/>
      <c r="H121" s="51"/>
      <c r="I121" s="16"/>
      <c r="J121" s="28"/>
      <c r="K121" s="28"/>
    </row>
    <row r="122" spans="2:11" x14ac:dyDescent="0.2">
      <c r="B122" s="14"/>
      <c r="C122" s="198"/>
      <c r="D122" s="65" t="s">
        <v>220</v>
      </c>
      <c r="E122" s="51"/>
      <c r="F122" s="55"/>
      <c r="G122" s="51">
        <f>E120*E121</f>
        <v>22.4</v>
      </c>
      <c r="H122" s="51" t="s">
        <v>23</v>
      </c>
      <c r="I122" s="16"/>
      <c r="J122" s="28"/>
      <c r="K122" s="28"/>
    </row>
    <row r="123" spans="2:11" x14ac:dyDescent="0.2">
      <c r="B123" s="14"/>
      <c r="C123" s="198"/>
      <c r="D123" s="65" t="s">
        <v>236</v>
      </c>
      <c r="E123" s="51"/>
      <c r="F123" s="55"/>
      <c r="G123" s="51"/>
      <c r="H123" s="51"/>
      <c r="I123" s="16"/>
      <c r="J123" s="28"/>
      <c r="K123" s="28"/>
    </row>
    <row r="124" spans="2:11" x14ac:dyDescent="0.2">
      <c r="B124" s="14"/>
      <c r="C124" s="198"/>
      <c r="D124" s="65" t="s">
        <v>631</v>
      </c>
      <c r="E124" s="51">
        <v>0.6</v>
      </c>
      <c r="F124" s="55" t="s">
        <v>7</v>
      </c>
      <c r="G124" s="51"/>
      <c r="H124" s="51"/>
      <c r="I124" s="16"/>
      <c r="J124" s="28"/>
      <c r="K124" s="28"/>
    </row>
    <row r="125" spans="2:11" x14ac:dyDescent="0.2">
      <c r="B125" s="14"/>
      <c r="C125" s="198"/>
      <c r="D125" s="431" t="s">
        <v>764</v>
      </c>
      <c r="E125" s="52">
        <v>50.1</v>
      </c>
      <c r="F125" s="57" t="s">
        <v>7</v>
      </c>
      <c r="G125" s="52"/>
      <c r="H125" s="51"/>
      <c r="I125" s="16"/>
      <c r="J125" s="28"/>
      <c r="K125" s="28"/>
    </row>
    <row r="126" spans="2:11" x14ac:dyDescent="0.2">
      <c r="B126" s="14"/>
      <c r="C126" s="198"/>
      <c r="D126" s="38" t="s">
        <v>31</v>
      </c>
      <c r="E126" s="51"/>
      <c r="F126" s="55"/>
      <c r="G126" s="51">
        <f>E124*E125</f>
        <v>30.06</v>
      </c>
      <c r="H126" s="51" t="s">
        <v>23</v>
      </c>
      <c r="I126" s="16"/>
      <c r="J126" s="28"/>
      <c r="K126" s="28"/>
    </row>
    <row r="127" spans="2:11" x14ac:dyDescent="0.2">
      <c r="B127" s="14"/>
      <c r="C127" s="198"/>
      <c r="D127" s="431"/>
      <c r="E127" s="57"/>
      <c r="F127" s="52"/>
      <c r="G127" s="17"/>
      <c r="H127" s="52"/>
      <c r="I127" s="16"/>
      <c r="J127" s="28"/>
      <c r="K127" s="28"/>
    </row>
    <row r="128" spans="2:11" x14ac:dyDescent="0.2">
      <c r="B128" s="14"/>
      <c r="C128" s="198"/>
      <c r="D128" s="27" t="s">
        <v>246</v>
      </c>
      <c r="E128" s="12"/>
      <c r="F128" s="13"/>
      <c r="G128" s="12">
        <f>SUM(G119:G127)</f>
        <v>72.86</v>
      </c>
      <c r="H128" s="51"/>
      <c r="I128" s="16"/>
      <c r="J128" s="28"/>
      <c r="K128" s="28"/>
    </row>
    <row r="129" spans="2:11" x14ac:dyDescent="0.2">
      <c r="B129" s="14"/>
      <c r="C129" s="198"/>
      <c r="D129" s="27"/>
      <c r="E129" s="12"/>
      <c r="F129" s="13"/>
      <c r="G129" s="12"/>
      <c r="H129" s="51"/>
      <c r="I129" s="16"/>
      <c r="J129" s="28"/>
      <c r="K129" s="28"/>
    </row>
    <row r="130" spans="2:11" x14ac:dyDescent="0.2">
      <c r="B130" s="14"/>
      <c r="C130" s="198" t="s">
        <v>230</v>
      </c>
      <c r="D130" s="65" t="s">
        <v>231</v>
      </c>
      <c r="E130" s="51"/>
      <c r="F130" s="55"/>
      <c r="G130" s="51"/>
      <c r="H130" s="51"/>
      <c r="I130" s="16"/>
      <c r="J130" s="28"/>
      <c r="K130" s="28"/>
    </row>
    <row r="131" spans="2:11" x14ac:dyDescent="0.2">
      <c r="B131" s="14"/>
      <c r="C131" s="193"/>
      <c r="D131" s="65" t="s">
        <v>232</v>
      </c>
      <c r="E131" s="51"/>
      <c r="F131" s="55"/>
      <c r="G131" s="51"/>
      <c r="H131" s="51"/>
      <c r="I131" s="16"/>
      <c r="J131" s="28"/>
      <c r="K131" s="28"/>
    </row>
    <row r="132" spans="2:11" x14ac:dyDescent="0.2">
      <c r="B132" s="14"/>
      <c r="C132" s="193"/>
      <c r="D132" s="65" t="s">
        <v>222</v>
      </c>
      <c r="E132" s="51">
        <v>1.4</v>
      </c>
      <c r="F132" s="55" t="s">
        <v>7</v>
      </c>
      <c r="G132" s="51"/>
      <c r="H132" s="51"/>
      <c r="I132" s="16"/>
      <c r="J132" s="28"/>
      <c r="K132" s="28"/>
    </row>
    <row r="133" spans="2:11" x14ac:dyDescent="0.2">
      <c r="B133" s="14"/>
      <c r="C133" s="193"/>
      <c r="D133" s="431" t="s">
        <v>219</v>
      </c>
      <c r="E133" s="52">
        <v>25.6</v>
      </c>
      <c r="F133" s="57" t="s">
        <v>7</v>
      </c>
      <c r="G133" s="52"/>
      <c r="J133" s="28"/>
      <c r="K133" s="28"/>
    </row>
    <row r="134" spans="2:11" x14ac:dyDescent="0.2">
      <c r="B134" s="14"/>
      <c r="C134" s="193"/>
      <c r="D134" s="65" t="s">
        <v>220</v>
      </c>
      <c r="E134" s="51"/>
      <c r="F134" s="55"/>
      <c r="H134" s="51">
        <f>E132*E133</f>
        <v>35.839999999999996</v>
      </c>
      <c r="I134" s="15" t="s">
        <v>23</v>
      </c>
      <c r="J134" s="28"/>
      <c r="K134" s="28"/>
    </row>
    <row r="135" spans="2:11" x14ac:dyDescent="0.2">
      <c r="B135" s="14"/>
      <c r="C135" s="193"/>
      <c r="D135" s="65" t="s">
        <v>233</v>
      </c>
      <c r="E135" s="51"/>
      <c r="F135" s="55"/>
      <c r="G135" s="51"/>
      <c r="H135" s="51"/>
      <c r="I135" s="16"/>
      <c r="J135" s="28"/>
      <c r="K135" s="28"/>
    </row>
    <row r="136" spans="2:11" x14ac:dyDescent="0.2">
      <c r="B136" s="14"/>
      <c r="C136" s="193"/>
      <c r="D136" s="65" t="s">
        <v>234</v>
      </c>
      <c r="E136" s="51"/>
      <c r="F136" s="55">
        <v>0.6</v>
      </c>
      <c r="G136" s="51" t="s">
        <v>7</v>
      </c>
      <c r="H136" s="51"/>
      <c r="I136" s="55"/>
      <c r="J136" s="28"/>
      <c r="K136" s="28"/>
    </row>
    <row r="137" spans="2:11" x14ac:dyDescent="0.2">
      <c r="B137" s="14"/>
      <c r="C137" s="193"/>
      <c r="D137" s="431" t="s">
        <v>235</v>
      </c>
      <c r="E137" s="52"/>
      <c r="F137" s="57">
        <v>25.6</v>
      </c>
      <c r="G137" s="52" t="s">
        <v>7</v>
      </c>
      <c r="H137" s="52"/>
      <c r="I137" s="55"/>
      <c r="J137" s="28"/>
      <c r="K137" s="28"/>
    </row>
    <row r="138" spans="2:11" x14ac:dyDescent="0.2">
      <c r="B138" s="14"/>
      <c r="C138" s="193"/>
      <c r="D138" s="65" t="s">
        <v>31</v>
      </c>
      <c r="E138" s="51"/>
      <c r="F138" s="55"/>
      <c r="G138" s="51"/>
      <c r="H138" s="51">
        <f>F137*F136</f>
        <v>15.36</v>
      </c>
      <c r="I138" s="55" t="s">
        <v>23</v>
      </c>
      <c r="J138" s="28"/>
      <c r="K138" s="149"/>
    </row>
    <row r="139" spans="2:11" x14ac:dyDescent="0.2">
      <c r="B139" s="14"/>
      <c r="C139" s="425"/>
      <c r="D139" s="65"/>
      <c r="E139" s="51"/>
      <c r="F139" s="55"/>
      <c r="G139" s="51"/>
      <c r="H139" s="51"/>
      <c r="I139" s="55"/>
      <c r="J139" s="430"/>
      <c r="K139" s="28"/>
    </row>
    <row r="140" spans="2:11" x14ac:dyDescent="0.2">
      <c r="B140" s="14"/>
      <c r="C140" s="425"/>
      <c r="D140" s="65" t="s">
        <v>248</v>
      </c>
      <c r="E140" s="51"/>
      <c r="F140" s="55"/>
      <c r="G140" s="51"/>
      <c r="H140" s="51"/>
      <c r="I140" s="55"/>
      <c r="J140" s="430"/>
      <c r="K140" s="28"/>
    </row>
    <row r="141" spans="2:11" x14ac:dyDescent="0.2">
      <c r="B141" s="14"/>
      <c r="C141" s="425"/>
      <c r="D141" s="65" t="s">
        <v>21</v>
      </c>
      <c r="E141" s="51"/>
      <c r="F141" s="55">
        <v>9.5</v>
      </c>
      <c r="G141" s="51" t="s">
        <v>23</v>
      </c>
      <c r="H141" s="51"/>
      <c r="I141" s="55"/>
      <c r="J141" s="430"/>
      <c r="K141" s="28"/>
    </row>
    <row r="142" spans="2:11" x14ac:dyDescent="0.2">
      <c r="B142" s="14"/>
      <c r="C142" s="425"/>
      <c r="D142" s="431" t="s">
        <v>237</v>
      </c>
      <c r="E142" s="52"/>
      <c r="F142" s="57">
        <v>11</v>
      </c>
      <c r="G142" s="52" t="s">
        <v>40</v>
      </c>
      <c r="H142" s="52"/>
      <c r="I142" s="55"/>
      <c r="J142" s="430"/>
      <c r="K142" s="28"/>
    </row>
    <row r="143" spans="2:11" x14ac:dyDescent="0.2">
      <c r="B143" s="14"/>
      <c r="C143" s="425"/>
      <c r="D143" s="65" t="s">
        <v>59</v>
      </c>
      <c r="E143" s="51"/>
      <c r="F143" s="55"/>
      <c r="G143" s="51"/>
      <c r="H143" s="51">
        <f>F141*F142</f>
        <v>104.5</v>
      </c>
      <c r="I143" s="55" t="s">
        <v>23</v>
      </c>
      <c r="J143" s="430"/>
      <c r="K143" s="28"/>
    </row>
    <row r="144" spans="2:11" x14ac:dyDescent="0.2">
      <c r="B144" s="14"/>
      <c r="C144" s="425"/>
      <c r="D144" s="65"/>
      <c r="E144" s="51"/>
      <c r="F144" s="55"/>
      <c r="G144" s="51"/>
      <c r="H144" s="51"/>
      <c r="I144" s="55"/>
      <c r="J144" s="430"/>
      <c r="K144" s="28"/>
    </row>
    <row r="145" spans="2:11" x14ac:dyDescent="0.2">
      <c r="B145" s="14"/>
      <c r="C145" s="425"/>
      <c r="D145" s="65" t="s">
        <v>765</v>
      </c>
      <c r="E145" s="51"/>
      <c r="F145" s="55"/>
      <c r="G145" s="51"/>
      <c r="H145" s="51"/>
      <c r="I145" s="55"/>
      <c r="J145" s="430"/>
      <c r="K145" s="28"/>
    </row>
    <row r="146" spans="2:11" x14ac:dyDescent="0.2">
      <c r="B146" s="14"/>
      <c r="C146" s="425"/>
      <c r="D146" s="65" t="s">
        <v>622</v>
      </c>
      <c r="E146" s="51">
        <v>2</v>
      </c>
      <c r="F146" s="55" t="s">
        <v>40</v>
      </c>
      <c r="G146" s="51"/>
      <c r="H146" s="51"/>
      <c r="I146" s="55"/>
      <c r="J146" s="430"/>
      <c r="K146" s="28"/>
    </row>
    <row r="147" spans="2:11" x14ac:dyDescent="0.2">
      <c r="B147" s="14"/>
      <c r="C147" s="425"/>
      <c r="D147" s="65" t="s">
        <v>31</v>
      </c>
      <c r="E147" s="51" t="s">
        <v>632</v>
      </c>
      <c r="F147" s="55"/>
      <c r="G147" s="51"/>
      <c r="H147" s="51"/>
      <c r="I147" s="55"/>
      <c r="J147" s="430"/>
      <c r="K147" s="28"/>
    </row>
    <row r="148" spans="2:11" x14ac:dyDescent="0.2">
      <c r="B148" s="14"/>
      <c r="C148" s="425"/>
      <c r="D148" s="431"/>
      <c r="E148" s="52">
        <f>4*0.04</f>
        <v>0.16</v>
      </c>
      <c r="F148" s="57" t="s">
        <v>23</v>
      </c>
      <c r="G148" s="52"/>
      <c r="H148" s="52"/>
      <c r="I148" s="57"/>
      <c r="J148" s="430"/>
      <c r="K148" s="28"/>
    </row>
    <row r="149" spans="2:11" x14ac:dyDescent="0.2">
      <c r="B149" s="14"/>
      <c r="C149" s="425"/>
      <c r="D149" s="65" t="s">
        <v>59</v>
      </c>
      <c r="E149" s="51"/>
      <c r="F149" s="55"/>
      <c r="G149" s="51"/>
      <c r="H149" s="51">
        <f>E148*E146</f>
        <v>0.32</v>
      </c>
      <c r="I149" s="55" t="s">
        <v>23</v>
      </c>
      <c r="J149" s="430"/>
      <c r="K149" s="28"/>
    </row>
    <row r="150" spans="2:11" x14ac:dyDescent="0.2">
      <c r="B150" s="14"/>
      <c r="C150" s="193"/>
      <c r="D150" s="65"/>
      <c r="E150" s="51"/>
      <c r="F150" s="55"/>
      <c r="G150" s="51"/>
      <c r="H150" s="51"/>
      <c r="I150" s="55"/>
      <c r="J150" s="430"/>
      <c r="K150" s="28"/>
    </row>
    <row r="151" spans="2:11" x14ac:dyDescent="0.2">
      <c r="B151" s="14"/>
      <c r="C151" s="193"/>
      <c r="D151" s="65" t="s">
        <v>238</v>
      </c>
      <c r="E151" s="51"/>
      <c r="F151" s="55"/>
      <c r="G151" s="51"/>
      <c r="H151" s="51"/>
      <c r="I151" s="55"/>
      <c r="J151" s="430"/>
      <c r="K151" s="28"/>
    </row>
    <row r="152" spans="2:11" x14ac:dyDescent="0.2">
      <c r="B152" s="14"/>
      <c r="C152" s="193"/>
      <c r="D152" s="65" t="s">
        <v>278</v>
      </c>
      <c r="E152" s="51"/>
      <c r="F152" s="55"/>
      <c r="G152" s="51"/>
      <c r="H152" s="51"/>
      <c r="I152" s="55"/>
      <c r="J152" s="430"/>
      <c r="K152" s="28"/>
    </row>
    <row r="153" spans="2:11" x14ac:dyDescent="0.2">
      <c r="B153" s="14"/>
      <c r="C153" s="193"/>
      <c r="D153" s="65" t="s">
        <v>141</v>
      </c>
      <c r="E153" s="51"/>
      <c r="F153" s="55">
        <v>7.6</v>
      </c>
      <c r="G153" s="51" t="s">
        <v>7</v>
      </c>
      <c r="H153" s="51"/>
      <c r="I153" s="55"/>
      <c r="J153" s="430"/>
      <c r="K153" s="28"/>
    </row>
    <row r="154" spans="2:11" x14ac:dyDescent="0.2">
      <c r="B154" s="14"/>
      <c r="C154" s="193"/>
      <c r="D154" s="431" t="s">
        <v>184</v>
      </c>
      <c r="E154" s="52"/>
      <c r="F154" s="57">
        <v>6.5</v>
      </c>
      <c r="G154" s="52" t="s">
        <v>7</v>
      </c>
      <c r="H154" s="52"/>
      <c r="I154" s="55"/>
      <c r="J154" s="430"/>
      <c r="K154" s="28"/>
    </row>
    <row r="155" spans="2:11" x14ac:dyDescent="0.2">
      <c r="B155" s="14"/>
      <c r="C155" s="193"/>
      <c r="D155" s="65" t="s">
        <v>31</v>
      </c>
      <c r="E155" s="51"/>
      <c r="F155" s="55"/>
      <c r="G155" s="51"/>
      <c r="H155" s="51">
        <f>F153*F154</f>
        <v>49.4</v>
      </c>
      <c r="I155" s="55" t="s">
        <v>23</v>
      </c>
      <c r="J155" s="430"/>
      <c r="K155" s="28"/>
    </row>
    <row r="156" spans="2:11" x14ac:dyDescent="0.2">
      <c r="B156" s="14"/>
      <c r="C156" s="193"/>
      <c r="D156" s="65" t="s">
        <v>239</v>
      </c>
      <c r="E156" s="51"/>
      <c r="F156" s="55"/>
      <c r="G156" s="51"/>
      <c r="H156" s="51"/>
      <c r="I156" s="55"/>
      <c r="J156" s="430"/>
      <c r="K156" s="28"/>
    </row>
    <row r="157" spans="2:11" x14ac:dyDescent="0.2">
      <c r="B157" s="14"/>
      <c r="C157" s="193"/>
      <c r="D157" s="65" t="s">
        <v>240</v>
      </c>
      <c r="E157" s="51"/>
      <c r="F157" s="55"/>
      <c r="G157" s="51"/>
      <c r="H157" s="65">
        <f>2*3.8 +2*2.4</f>
        <v>12.399999999999999</v>
      </c>
      <c r="I157" s="55" t="s">
        <v>23</v>
      </c>
      <c r="J157" s="430"/>
      <c r="K157" s="28"/>
    </row>
    <row r="158" spans="2:11" x14ac:dyDescent="0.2">
      <c r="B158" s="14"/>
      <c r="C158" s="193"/>
      <c r="D158" s="65" t="s">
        <v>247</v>
      </c>
      <c r="E158" s="51"/>
      <c r="F158" s="55"/>
      <c r="G158" s="51"/>
      <c r="H158" s="281">
        <f>2*0.8*0.6</f>
        <v>0.96</v>
      </c>
      <c r="I158" s="55" t="s">
        <v>23</v>
      </c>
      <c r="J158" s="430"/>
      <c r="K158" s="28"/>
    </row>
    <row r="159" spans="2:11" x14ac:dyDescent="0.2">
      <c r="B159" s="14"/>
      <c r="C159" s="193"/>
      <c r="D159" s="65" t="s">
        <v>241</v>
      </c>
      <c r="E159" s="51"/>
      <c r="F159" s="55"/>
      <c r="G159" s="51"/>
      <c r="H159" s="51"/>
      <c r="I159" s="55"/>
      <c r="J159" s="430"/>
      <c r="K159" s="28"/>
    </row>
    <row r="160" spans="2:11" x14ac:dyDescent="0.2">
      <c r="B160" s="14"/>
      <c r="C160" s="193"/>
      <c r="D160" s="65" t="s">
        <v>242</v>
      </c>
      <c r="E160" s="51"/>
      <c r="F160" s="55"/>
      <c r="G160" s="51"/>
      <c r="H160" s="65">
        <f>2*1.2+2*0.7*1.1</f>
        <v>3.94</v>
      </c>
      <c r="I160" s="55" t="s">
        <v>23</v>
      </c>
      <c r="J160" s="430"/>
      <c r="K160" s="28"/>
    </row>
    <row r="161" spans="2:14" x14ac:dyDescent="0.2">
      <c r="B161" s="14"/>
      <c r="C161" s="193"/>
      <c r="D161" s="65" t="s">
        <v>243</v>
      </c>
      <c r="E161" s="51"/>
      <c r="F161" s="55"/>
      <c r="G161" s="51"/>
      <c r="H161" s="51"/>
      <c r="I161" s="55"/>
      <c r="J161" s="430"/>
      <c r="K161" s="28"/>
      <c r="M161" s="40"/>
    </row>
    <row r="162" spans="2:14" x14ac:dyDescent="0.2">
      <c r="B162" s="14"/>
      <c r="C162" s="193"/>
      <c r="D162" s="431" t="s">
        <v>244</v>
      </c>
      <c r="E162" s="52"/>
      <c r="F162" s="57"/>
      <c r="G162" s="52"/>
      <c r="H162" s="431">
        <f>2*1*1.6*1.1</f>
        <v>3.5200000000000005</v>
      </c>
      <c r="I162" s="57" t="s">
        <v>23</v>
      </c>
      <c r="J162" s="430"/>
      <c r="K162" s="28"/>
    </row>
    <row r="163" spans="2:14" x14ac:dyDescent="0.2">
      <c r="B163" s="14"/>
      <c r="C163" s="193"/>
      <c r="D163" s="65" t="s">
        <v>245</v>
      </c>
      <c r="E163" s="51"/>
      <c r="F163" s="55"/>
      <c r="G163" s="51"/>
      <c r="H163" s="281">
        <f>SUM(H133:H162)</f>
        <v>226.24</v>
      </c>
      <c r="I163" s="55" t="s">
        <v>23</v>
      </c>
      <c r="J163" s="430"/>
      <c r="K163" s="28"/>
    </row>
    <row r="164" spans="2:14" x14ac:dyDescent="0.2">
      <c r="B164" s="14"/>
      <c r="C164" s="193"/>
      <c r="D164" s="65"/>
      <c r="E164" s="51"/>
      <c r="F164" s="55"/>
      <c r="G164" s="51"/>
      <c r="H164" s="51"/>
      <c r="I164" s="55"/>
      <c r="J164" s="430"/>
      <c r="K164" s="28"/>
    </row>
    <row r="165" spans="2:14" x14ac:dyDescent="0.2">
      <c r="B165" s="14"/>
      <c r="C165" s="37" t="s">
        <v>250</v>
      </c>
      <c r="D165" s="27" t="s">
        <v>251</v>
      </c>
      <c r="E165" s="12"/>
      <c r="F165" s="55"/>
      <c r="G165" s="51"/>
      <c r="H165" s="51"/>
      <c r="I165" s="55"/>
      <c r="J165" s="430"/>
      <c r="K165" s="28"/>
    </row>
    <row r="166" spans="2:14" x14ac:dyDescent="0.2">
      <c r="B166" s="14"/>
      <c r="C166" s="198"/>
      <c r="D166" s="65" t="s">
        <v>252</v>
      </c>
      <c r="E166" s="51"/>
      <c r="F166" s="55"/>
      <c r="G166" s="51"/>
      <c r="H166" s="51"/>
      <c r="I166" s="55"/>
      <c r="J166" s="430"/>
      <c r="K166" s="28"/>
    </row>
    <row r="167" spans="2:14" x14ac:dyDescent="0.2">
      <c r="B167" s="14"/>
      <c r="C167" s="198"/>
      <c r="D167" s="65" t="s">
        <v>31</v>
      </c>
      <c r="E167" s="51"/>
      <c r="F167" s="55"/>
      <c r="G167" s="51"/>
      <c r="H167" s="51"/>
      <c r="I167" s="55"/>
      <c r="J167" s="430"/>
      <c r="K167" s="28"/>
    </row>
    <row r="168" spans="2:14" x14ac:dyDescent="0.2">
      <c r="B168" s="14"/>
      <c r="C168" s="198"/>
      <c r="D168" s="65" t="s">
        <v>253</v>
      </c>
      <c r="E168" s="51"/>
      <c r="F168" s="55"/>
      <c r="G168" s="51"/>
      <c r="H168" s="281">
        <f>3.9*(25.6+52.5)</f>
        <v>304.58999999999997</v>
      </c>
      <c r="I168" s="55" t="s">
        <v>23</v>
      </c>
      <c r="J168" s="430"/>
      <c r="K168" s="28"/>
    </row>
    <row r="169" spans="2:14" x14ac:dyDescent="0.2">
      <c r="B169" s="14"/>
      <c r="C169" s="198"/>
      <c r="D169" s="65"/>
      <c r="E169" s="51"/>
      <c r="F169" s="55"/>
      <c r="G169" s="51"/>
      <c r="H169" s="51"/>
      <c r="I169" s="55"/>
      <c r="J169" s="430"/>
      <c r="K169" s="28"/>
    </row>
    <row r="170" spans="2:14" x14ac:dyDescent="0.2">
      <c r="B170" s="14"/>
      <c r="C170" s="37" t="s">
        <v>254</v>
      </c>
      <c r="D170" s="27" t="s">
        <v>255</v>
      </c>
      <c r="E170" s="12"/>
      <c r="F170" s="55"/>
      <c r="G170" s="51"/>
      <c r="H170" s="51"/>
      <c r="I170" s="16"/>
      <c r="J170" s="28"/>
      <c r="K170" s="28"/>
    </row>
    <row r="171" spans="2:14" x14ac:dyDescent="0.2">
      <c r="B171" s="14"/>
      <c r="C171" s="198"/>
      <c r="D171" s="65" t="s">
        <v>256</v>
      </c>
      <c r="E171" s="51"/>
      <c r="F171" s="55"/>
      <c r="G171" s="51">
        <f>G100*80</f>
        <v>54456.80000000001</v>
      </c>
      <c r="H171" s="51" t="s">
        <v>63</v>
      </c>
      <c r="I171" s="16"/>
      <c r="J171" s="28"/>
      <c r="K171" s="28"/>
    </row>
    <row r="172" spans="2:14" x14ac:dyDescent="0.2">
      <c r="B172" s="14"/>
      <c r="C172" s="198"/>
      <c r="D172" s="27" t="s">
        <v>279</v>
      </c>
      <c r="E172" s="12"/>
      <c r="F172" s="55"/>
      <c r="G172" s="51"/>
      <c r="H172" s="51"/>
      <c r="I172" s="16"/>
      <c r="J172" s="28"/>
      <c r="K172" s="28"/>
    </row>
    <row r="173" spans="2:14" ht="25.5" x14ac:dyDescent="0.2">
      <c r="B173" s="14"/>
      <c r="C173" s="198" t="s">
        <v>257</v>
      </c>
      <c r="D173" s="663" t="s">
        <v>781</v>
      </c>
      <c r="E173" s="12"/>
      <c r="F173" s="55"/>
      <c r="G173" s="51">
        <f>G171*0.35</f>
        <v>19059.88</v>
      </c>
      <c r="H173" s="51" t="s">
        <v>63</v>
      </c>
      <c r="K173" s="446"/>
      <c r="M173" s="74"/>
      <c r="N173" s="446"/>
    </row>
    <row r="174" spans="2:14" ht="25.5" x14ac:dyDescent="0.2">
      <c r="B174" s="14"/>
      <c r="C174" s="198" t="s">
        <v>258</v>
      </c>
      <c r="D174" s="663" t="s">
        <v>782</v>
      </c>
      <c r="E174" s="51"/>
      <c r="F174" s="55"/>
      <c r="G174" s="51">
        <f>G171*0.65</f>
        <v>35396.920000000006</v>
      </c>
      <c r="H174" s="51" t="s">
        <v>63</v>
      </c>
      <c r="I174" s="442"/>
      <c r="J174" s="446"/>
      <c r="K174" s="446"/>
    </row>
    <row r="175" spans="2:14" x14ac:dyDescent="0.2">
      <c r="B175" s="14"/>
      <c r="C175" s="443"/>
      <c r="D175" s="444"/>
      <c r="E175" s="24"/>
      <c r="F175" s="442"/>
      <c r="G175" s="24"/>
      <c r="H175" s="24"/>
      <c r="I175" s="442"/>
      <c r="J175" s="446"/>
      <c r="K175" s="446"/>
    </row>
    <row r="176" spans="2:14" x14ac:dyDescent="0.2">
      <c r="B176" s="14"/>
      <c r="C176" s="198" t="s">
        <v>783</v>
      </c>
      <c r="D176" s="198" t="s">
        <v>786</v>
      </c>
      <c r="E176" s="665"/>
      <c r="F176" s="55"/>
      <c r="G176" s="51"/>
      <c r="H176" s="51"/>
      <c r="I176" s="560"/>
      <c r="J176" s="446"/>
      <c r="K176" s="446"/>
    </row>
    <row r="177" spans="2:11" x14ac:dyDescent="0.2">
      <c r="B177" s="14"/>
      <c r="C177" s="198"/>
      <c r="D177" s="663" t="s">
        <v>729</v>
      </c>
      <c r="E177" s="51"/>
      <c r="F177" s="55"/>
      <c r="G177" s="51"/>
      <c r="H177" s="51"/>
      <c r="I177" s="560"/>
      <c r="J177" s="446"/>
      <c r="K177" s="446"/>
    </row>
    <row r="178" spans="2:11" x14ac:dyDescent="0.2">
      <c r="B178" s="14"/>
      <c r="C178" s="198"/>
      <c r="D178" s="663" t="s">
        <v>730</v>
      </c>
      <c r="E178" s="51">
        <v>2.8</v>
      </c>
      <c r="F178" s="55" t="s">
        <v>7</v>
      </c>
      <c r="G178" s="51"/>
      <c r="H178" s="51"/>
      <c r="I178" s="560"/>
      <c r="J178" s="446"/>
      <c r="K178" s="446"/>
    </row>
    <row r="179" spans="2:11" x14ac:dyDescent="0.2">
      <c r="B179" s="14"/>
      <c r="C179" s="198"/>
      <c r="D179" s="663" t="s">
        <v>184</v>
      </c>
      <c r="E179" s="51">
        <v>0.4</v>
      </c>
      <c r="F179" s="55" t="s">
        <v>7</v>
      </c>
      <c r="G179" s="14"/>
      <c r="H179" s="51"/>
      <c r="I179" s="560"/>
      <c r="J179" s="446"/>
      <c r="K179" s="446"/>
    </row>
    <row r="180" spans="2:11" x14ac:dyDescent="0.2">
      <c r="B180" s="14"/>
      <c r="C180" s="198"/>
      <c r="D180" s="664" t="s">
        <v>237</v>
      </c>
      <c r="E180" s="52">
        <v>3</v>
      </c>
      <c r="F180" s="57" t="s">
        <v>40</v>
      </c>
      <c r="G180" s="52"/>
      <c r="H180" s="51"/>
      <c r="I180" s="560"/>
      <c r="J180" s="446"/>
      <c r="K180" s="446"/>
    </row>
    <row r="181" spans="2:11" x14ac:dyDescent="0.2">
      <c r="B181" s="14"/>
      <c r="C181" s="198"/>
      <c r="D181" s="663" t="s">
        <v>31</v>
      </c>
      <c r="E181" s="51"/>
      <c r="F181" s="55"/>
      <c r="G181" s="281">
        <f>E178*E179*E180</f>
        <v>3.3599999999999994</v>
      </c>
      <c r="H181" s="51"/>
      <c r="I181" s="560"/>
      <c r="J181" s="446"/>
      <c r="K181" s="446"/>
    </row>
    <row r="182" spans="2:11" x14ac:dyDescent="0.2">
      <c r="B182" s="14"/>
      <c r="C182" s="198"/>
      <c r="D182" s="663"/>
      <c r="E182" s="51"/>
      <c r="F182" s="55"/>
      <c r="G182" s="51"/>
      <c r="H182" s="51"/>
      <c r="I182" s="560"/>
      <c r="J182" s="446"/>
      <c r="K182" s="446"/>
    </row>
    <row r="183" spans="2:11" x14ac:dyDescent="0.2">
      <c r="B183" s="14"/>
      <c r="C183" s="198"/>
      <c r="D183" s="663" t="s">
        <v>748</v>
      </c>
      <c r="G183" s="51">
        <f>2*0.25*3</f>
        <v>1.5</v>
      </c>
      <c r="H183" s="55" t="s">
        <v>23</v>
      </c>
      <c r="I183" s="560"/>
      <c r="J183" s="446"/>
      <c r="K183" s="446"/>
    </row>
    <row r="184" spans="2:11" x14ac:dyDescent="0.2">
      <c r="B184" s="14"/>
      <c r="C184" s="198"/>
      <c r="D184" s="663"/>
      <c r="E184" s="51"/>
      <c r="F184" s="55"/>
      <c r="G184" s="51"/>
      <c r="H184" s="51"/>
      <c r="I184" s="560"/>
      <c r="J184" s="446"/>
      <c r="K184" s="446"/>
    </row>
    <row r="185" spans="2:11" x14ac:dyDescent="0.2">
      <c r="B185" s="14"/>
      <c r="C185" s="198"/>
      <c r="D185" s="663" t="s">
        <v>194</v>
      </c>
      <c r="E185" s="51"/>
      <c r="F185" s="55"/>
      <c r="G185" s="51"/>
      <c r="H185" s="51"/>
      <c r="I185" s="560"/>
      <c r="J185" s="446"/>
      <c r="K185" s="446"/>
    </row>
    <row r="186" spans="2:11" x14ac:dyDescent="0.2">
      <c r="B186" s="14"/>
      <c r="C186" s="198"/>
      <c r="D186" s="663" t="s">
        <v>730</v>
      </c>
      <c r="E186" s="51">
        <v>3</v>
      </c>
      <c r="F186" s="55" t="s">
        <v>7</v>
      </c>
      <c r="G186" s="51"/>
      <c r="H186" s="51"/>
      <c r="I186" s="560"/>
      <c r="J186" s="446"/>
      <c r="K186" s="446"/>
    </row>
    <row r="187" spans="2:11" x14ac:dyDescent="0.2">
      <c r="B187" s="14"/>
      <c r="C187" s="198"/>
      <c r="D187" s="664" t="s">
        <v>731</v>
      </c>
      <c r="E187" s="52">
        <v>7.2</v>
      </c>
      <c r="F187" s="57" t="s">
        <v>7</v>
      </c>
      <c r="G187" s="52"/>
      <c r="H187" s="51"/>
      <c r="I187" s="560"/>
      <c r="J187" s="446"/>
      <c r="K187" s="446"/>
    </row>
    <row r="188" spans="2:11" x14ac:dyDescent="0.2">
      <c r="B188" s="14"/>
      <c r="C188" s="198"/>
      <c r="D188" s="663" t="s">
        <v>31</v>
      </c>
      <c r="E188" s="51"/>
      <c r="F188" s="55"/>
      <c r="G188" s="51">
        <f>E186*E187</f>
        <v>21.6</v>
      </c>
      <c r="H188" s="51" t="s">
        <v>23</v>
      </c>
      <c r="I188" s="560"/>
      <c r="J188" s="446"/>
      <c r="K188" s="446"/>
    </row>
    <row r="189" spans="2:11" x14ac:dyDescent="0.2">
      <c r="B189" s="14"/>
      <c r="C189" s="198"/>
      <c r="D189" s="663"/>
      <c r="E189" s="51"/>
      <c r="F189" s="55"/>
      <c r="G189" s="51"/>
      <c r="H189" s="51"/>
      <c r="I189" s="560"/>
      <c r="J189" s="446"/>
      <c r="K189" s="446"/>
    </row>
    <row r="190" spans="2:11" x14ac:dyDescent="0.2">
      <c r="B190" s="14"/>
      <c r="C190" s="198"/>
      <c r="D190" s="663" t="s">
        <v>730</v>
      </c>
      <c r="E190" s="51">
        <v>12</v>
      </c>
      <c r="F190" s="55" t="s">
        <v>7</v>
      </c>
      <c r="G190" s="51"/>
      <c r="H190" s="51"/>
      <c r="I190" s="560"/>
      <c r="J190" s="446"/>
      <c r="K190" s="446"/>
    </row>
    <row r="191" spans="2:11" x14ac:dyDescent="0.2">
      <c r="B191" s="14"/>
      <c r="C191" s="198"/>
      <c r="D191" s="664" t="s">
        <v>731</v>
      </c>
      <c r="E191" s="52">
        <v>7.2</v>
      </c>
      <c r="F191" s="57" t="s">
        <v>7</v>
      </c>
      <c r="G191" s="52"/>
      <c r="H191" s="51"/>
      <c r="I191" s="560"/>
      <c r="J191" s="446"/>
      <c r="K191" s="446"/>
    </row>
    <row r="192" spans="2:11" x14ac:dyDescent="0.2">
      <c r="B192" s="14"/>
      <c r="C192" s="198"/>
      <c r="D192" s="663" t="s">
        <v>31</v>
      </c>
      <c r="E192" s="51"/>
      <c r="F192" s="55"/>
      <c r="G192" s="51">
        <f>E190*E191</f>
        <v>86.4</v>
      </c>
      <c r="H192" s="51" t="s">
        <v>23</v>
      </c>
      <c r="I192" s="560"/>
      <c r="J192" s="446"/>
      <c r="K192" s="446"/>
    </row>
    <row r="193" spans="2:11" x14ac:dyDescent="0.2">
      <c r="B193" s="14"/>
      <c r="C193" s="198"/>
      <c r="D193" s="663"/>
      <c r="E193" s="51"/>
      <c r="F193" s="55"/>
      <c r="G193" s="51"/>
      <c r="H193" s="51"/>
      <c r="I193" s="560"/>
      <c r="J193" s="446"/>
      <c r="K193" s="446"/>
    </row>
    <row r="194" spans="2:11" x14ac:dyDescent="0.2">
      <c r="B194" s="14"/>
      <c r="C194" s="198"/>
      <c r="D194" s="663" t="s">
        <v>732</v>
      </c>
      <c r="E194" s="51"/>
      <c r="F194" s="55"/>
      <c r="G194" s="51">
        <f>2*1.5</f>
        <v>3</v>
      </c>
      <c r="H194" s="51" t="s">
        <v>23</v>
      </c>
      <c r="I194" s="560"/>
      <c r="J194" s="446"/>
      <c r="K194" s="446"/>
    </row>
    <row r="195" spans="2:11" x14ac:dyDescent="0.2">
      <c r="B195" s="14"/>
      <c r="C195" s="198"/>
      <c r="D195" s="663"/>
      <c r="E195" s="51"/>
      <c r="F195" s="55"/>
      <c r="G195" s="51"/>
      <c r="H195" s="51"/>
      <c r="I195" s="560"/>
      <c r="J195" s="446"/>
      <c r="K195" s="446"/>
    </row>
    <row r="196" spans="2:11" x14ac:dyDescent="0.2">
      <c r="B196" s="14"/>
      <c r="C196" s="665" t="s">
        <v>728</v>
      </c>
      <c r="D196" s="663"/>
      <c r="E196" s="51"/>
      <c r="F196" s="55"/>
      <c r="G196" s="51"/>
      <c r="H196" s="51"/>
      <c r="I196" s="560"/>
      <c r="J196" s="446"/>
      <c r="K196" s="446"/>
    </row>
    <row r="197" spans="2:11" x14ac:dyDescent="0.2">
      <c r="B197" s="14"/>
      <c r="C197" s="198"/>
      <c r="D197" s="38" t="s">
        <v>739</v>
      </c>
      <c r="E197" s="51"/>
      <c r="F197" s="55"/>
      <c r="G197" s="51"/>
      <c r="H197" s="51"/>
      <c r="I197" s="560"/>
      <c r="J197" s="446"/>
      <c r="K197" s="446"/>
    </row>
    <row r="198" spans="2:11" x14ac:dyDescent="0.2">
      <c r="B198" s="14"/>
      <c r="C198" s="198"/>
      <c r="D198" s="663" t="s">
        <v>730</v>
      </c>
      <c r="E198" s="51">
        <v>2.6</v>
      </c>
      <c r="F198" s="55" t="s">
        <v>7</v>
      </c>
      <c r="G198" s="51"/>
      <c r="H198" s="51"/>
      <c r="I198" s="560"/>
      <c r="J198" s="446"/>
      <c r="K198" s="446"/>
    </row>
    <row r="199" spans="2:11" x14ac:dyDescent="0.2">
      <c r="B199" s="14"/>
      <c r="C199" s="198"/>
      <c r="D199" s="664" t="s">
        <v>740</v>
      </c>
      <c r="E199" s="52">
        <v>1.7</v>
      </c>
      <c r="F199" s="57" t="s">
        <v>7</v>
      </c>
      <c r="G199" s="52"/>
      <c r="H199" s="51"/>
      <c r="I199" s="560"/>
      <c r="J199" s="446"/>
      <c r="K199" s="446"/>
    </row>
    <row r="200" spans="2:11" x14ac:dyDescent="0.2">
      <c r="B200" s="14"/>
      <c r="C200" s="198"/>
      <c r="D200" s="663" t="s">
        <v>31</v>
      </c>
      <c r="E200" s="51"/>
      <c r="F200" s="55"/>
      <c r="G200" s="51">
        <f>E198*E199</f>
        <v>4.42</v>
      </c>
      <c r="H200" s="51" t="s">
        <v>23</v>
      </c>
      <c r="I200" s="560"/>
      <c r="J200" s="446"/>
      <c r="K200" s="446"/>
    </row>
    <row r="201" spans="2:11" x14ac:dyDescent="0.2">
      <c r="B201" s="14"/>
      <c r="C201" s="198"/>
      <c r="D201" s="663"/>
      <c r="E201" s="51"/>
      <c r="F201" s="55"/>
      <c r="G201" s="51"/>
      <c r="H201" s="51"/>
      <c r="I201" s="560"/>
      <c r="J201" s="446"/>
      <c r="K201" s="446"/>
    </row>
    <row r="202" spans="2:11" x14ac:dyDescent="0.2">
      <c r="B202" s="14"/>
      <c r="C202" s="198"/>
      <c r="D202" s="663" t="s">
        <v>741</v>
      </c>
      <c r="E202" s="51"/>
      <c r="F202" s="55"/>
      <c r="G202" s="51"/>
      <c r="H202" s="51"/>
      <c r="I202" s="442"/>
      <c r="J202" s="446"/>
      <c r="K202" s="446"/>
    </row>
    <row r="203" spans="2:11" x14ac:dyDescent="0.2">
      <c r="B203" s="14"/>
      <c r="C203" s="198"/>
      <c r="D203" s="663" t="s">
        <v>730</v>
      </c>
      <c r="E203" s="51">
        <v>3</v>
      </c>
      <c r="F203" s="55" t="s">
        <v>7</v>
      </c>
      <c r="G203" s="51"/>
      <c r="H203" s="51"/>
      <c r="I203" s="442"/>
      <c r="J203" s="446"/>
      <c r="K203" s="446"/>
    </row>
    <row r="204" spans="2:11" x14ac:dyDescent="0.2">
      <c r="B204" s="14"/>
      <c r="C204" s="198"/>
      <c r="D204" s="664" t="s">
        <v>740</v>
      </c>
      <c r="E204" s="52">
        <v>1</v>
      </c>
      <c r="F204" s="57" t="s">
        <v>7</v>
      </c>
      <c r="G204" s="52"/>
      <c r="H204" s="51"/>
      <c r="I204" s="442"/>
      <c r="J204" s="446"/>
      <c r="K204" s="446"/>
    </row>
    <row r="205" spans="2:11" x14ac:dyDescent="0.2">
      <c r="B205" s="14"/>
      <c r="C205" s="198"/>
      <c r="D205" s="663" t="s">
        <v>31</v>
      </c>
      <c r="E205" s="51"/>
      <c r="F205" s="55"/>
      <c r="G205" s="51">
        <f>E203*E204</f>
        <v>3</v>
      </c>
      <c r="H205" s="51" t="s">
        <v>23</v>
      </c>
      <c r="I205" s="442"/>
      <c r="J205" s="446"/>
      <c r="K205" s="446"/>
    </row>
    <row r="206" spans="2:11" x14ac:dyDescent="0.2">
      <c r="B206" s="14"/>
      <c r="C206" s="198"/>
      <c r="D206" s="663" t="s">
        <v>742</v>
      </c>
      <c r="E206" s="51"/>
      <c r="F206" s="55"/>
      <c r="G206" s="51"/>
      <c r="H206" s="51"/>
      <c r="I206" s="442"/>
      <c r="J206" s="446"/>
      <c r="K206" s="446"/>
    </row>
    <row r="207" spans="2:11" x14ac:dyDescent="0.2">
      <c r="B207" s="14"/>
      <c r="C207" s="198"/>
      <c r="D207" s="665" t="s">
        <v>743</v>
      </c>
      <c r="E207" s="51"/>
      <c r="F207" s="55">
        <v>3.7</v>
      </c>
      <c r="G207" s="51"/>
      <c r="H207" s="51"/>
      <c r="I207" s="442"/>
      <c r="J207" s="446"/>
      <c r="K207" s="446"/>
    </row>
    <row r="208" spans="2:11" x14ac:dyDescent="0.2">
      <c r="B208" s="14"/>
      <c r="C208" s="665"/>
      <c r="D208" s="666" t="s">
        <v>744</v>
      </c>
      <c r="E208" s="52"/>
      <c r="F208" s="57">
        <v>1.7</v>
      </c>
      <c r="G208" s="52"/>
      <c r="H208" s="52"/>
      <c r="I208" s="442"/>
      <c r="J208" s="446"/>
      <c r="K208" s="446"/>
    </row>
    <row r="209" spans="2:15" x14ac:dyDescent="0.2">
      <c r="B209" s="14"/>
      <c r="C209" s="665"/>
      <c r="D209" s="665" t="s">
        <v>31</v>
      </c>
      <c r="E209" s="51"/>
      <c r="F209" s="55"/>
      <c r="G209" s="51">
        <f>F207*F208</f>
        <v>6.29</v>
      </c>
      <c r="H209" s="51" t="s">
        <v>23</v>
      </c>
      <c r="I209" s="442"/>
      <c r="J209" s="446"/>
      <c r="K209" s="446"/>
    </row>
    <row r="210" spans="2:15" x14ac:dyDescent="0.2">
      <c r="B210" s="14"/>
      <c r="C210" s="198"/>
      <c r="D210" s="664"/>
      <c r="E210" s="52"/>
      <c r="F210" s="57"/>
      <c r="G210" s="52"/>
      <c r="H210" s="52"/>
      <c r="I210" s="442"/>
      <c r="J210" s="446"/>
      <c r="K210" s="446"/>
    </row>
    <row r="211" spans="2:15" x14ac:dyDescent="0.2">
      <c r="B211" s="14"/>
      <c r="C211" s="198"/>
      <c r="D211" s="663" t="s">
        <v>745</v>
      </c>
      <c r="E211" s="51"/>
      <c r="F211" s="55"/>
      <c r="G211" s="51">
        <f>SUM(G177:G209)</f>
        <v>129.57000000000002</v>
      </c>
      <c r="H211" s="51" t="s">
        <v>23</v>
      </c>
      <c r="I211" s="442"/>
      <c r="J211" s="446"/>
      <c r="K211" s="446"/>
    </row>
    <row r="212" spans="2:15" x14ac:dyDescent="0.2">
      <c r="B212" s="14"/>
      <c r="C212" s="198"/>
      <c r="D212" s="664" t="s">
        <v>784</v>
      </c>
      <c r="E212" s="52"/>
      <c r="F212" s="57"/>
      <c r="G212" s="52">
        <f>G211*0.3</f>
        <v>38.871000000000002</v>
      </c>
      <c r="H212" s="52" t="s">
        <v>23</v>
      </c>
      <c r="I212" s="442"/>
      <c r="J212" s="446"/>
      <c r="K212" s="446"/>
    </row>
    <row r="213" spans="2:15" x14ac:dyDescent="0.2">
      <c r="B213" s="14"/>
      <c r="C213" s="198"/>
      <c r="D213" s="663" t="s">
        <v>305</v>
      </c>
      <c r="E213" s="51"/>
      <c r="F213" s="55"/>
      <c r="G213" s="281">
        <f>SUM(G211:G212)</f>
        <v>168.44100000000003</v>
      </c>
      <c r="H213" s="51" t="s">
        <v>23</v>
      </c>
      <c r="I213" s="442"/>
      <c r="J213" s="446"/>
      <c r="K213" s="446"/>
    </row>
    <row r="214" spans="2:15" x14ac:dyDescent="0.2">
      <c r="B214" s="14"/>
      <c r="C214" s="198"/>
      <c r="D214" s="664" t="s">
        <v>746</v>
      </c>
      <c r="E214" s="52">
        <v>4.4400000000000004</v>
      </c>
      <c r="F214" s="57"/>
      <c r="G214" s="52"/>
      <c r="H214" s="52"/>
      <c r="I214" s="442"/>
      <c r="J214" s="446"/>
      <c r="K214" s="446"/>
    </row>
    <row r="215" spans="2:15" x14ac:dyDescent="0.2">
      <c r="B215" s="14"/>
      <c r="C215" s="198"/>
      <c r="D215" s="663" t="s">
        <v>747</v>
      </c>
      <c r="E215" s="51"/>
      <c r="F215" s="55"/>
      <c r="G215" s="51">
        <f>G213*E214</f>
        <v>747.87804000000017</v>
      </c>
      <c r="H215" s="51" t="s">
        <v>63</v>
      </c>
      <c r="I215" s="442"/>
      <c r="J215" s="446"/>
      <c r="K215" s="446"/>
    </row>
    <row r="216" spans="2:15" x14ac:dyDescent="0.2">
      <c r="B216" s="14"/>
      <c r="C216" s="390"/>
      <c r="D216" s="65"/>
      <c r="E216" s="12"/>
      <c r="F216" s="55"/>
      <c r="G216" s="51"/>
      <c r="H216" s="51"/>
      <c r="I216" s="16"/>
      <c r="J216" s="28"/>
      <c r="K216" s="28"/>
    </row>
    <row r="217" spans="2:15" x14ac:dyDescent="0.2">
      <c r="B217" s="14"/>
      <c r="C217" s="449" t="s">
        <v>259</v>
      </c>
      <c r="D217" s="237" t="s">
        <v>639</v>
      </c>
      <c r="E217" s="450"/>
      <c r="F217" s="451"/>
      <c r="G217" s="51"/>
      <c r="H217" s="51"/>
      <c r="I217" s="55"/>
      <c r="J217" s="28"/>
      <c r="K217" s="28"/>
      <c r="O217" s="405"/>
    </row>
    <row r="218" spans="2:15" x14ac:dyDescent="0.2">
      <c r="B218" s="14"/>
      <c r="C218" s="390" t="s">
        <v>265</v>
      </c>
      <c r="D218" s="14" t="s">
        <v>268</v>
      </c>
      <c r="E218" s="51"/>
      <c r="F218" s="55"/>
      <c r="G218" s="51"/>
      <c r="H218" s="51"/>
      <c r="I218" s="55"/>
      <c r="J218" s="28"/>
      <c r="K218" s="28"/>
    </row>
    <row r="219" spans="2:15" ht="15" x14ac:dyDescent="0.2">
      <c r="B219" s="14"/>
      <c r="C219" s="390"/>
      <c r="D219" s="452" t="s">
        <v>263</v>
      </c>
      <c r="E219" s="447">
        <v>121.8</v>
      </c>
      <c r="F219" s="448" t="s">
        <v>264</v>
      </c>
      <c r="G219" s="51"/>
      <c r="H219" s="51"/>
      <c r="I219" s="55"/>
      <c r="J219" s="28"/>
      <c r="K219" s="28"/>
    </row>
    <row r="220" spans="2:15" x14ac:dyDescent="0.2">
      <c r="B220" s="14"/>
      <c r="C220" s="390"/>
      <c r="D220" s="65" t="s">
        <v>262</v>
      </c>
      <c r="E220" s="51"/>
      <c r="F220" s="55"/>
      <c r="G220" s="65" t="s">
        <v>31</v>
      </c>
      <c r="H220" s="51" t="s">
        <v>263</v>
      </c>
      <c r="I220" s="55"/>
      <c r="J220" s="26"/>
      <c r="K220" s="28"/>
    </row>
    <row r="221" spans="2:15" x14ac:dyDescent="0.2">
      <c r="B221" s="14"/>
      <c r="C221" s="390"/>
      <c r="D221" s="65"/>
      <c r="E221" s="51"/>
      <c r="F221" s="55"/>
      <c r="G221" s="453" t="s">
        <v>23</v>
      </c>
      <c r="H221" s="453" t="s">
        <v>63</v>
      </c>
      <c r="I221" s="55"/>
      <c r="J221" s="26"/>
      <c r="K221" s="28"/>
    </row>
    <row r="222" spans="2:15" x14ac:dyDescent="0.2">
      <c r="B222" s="14"/>
      <c r="C222" s="390"/>
      <c r="D222" s="65" t="s">
        <v>635</v>
      </c>
      <c r="E222" s="51" t="s">
        <v>637</v>
      </c>
      <c r="F222" s="55"/>
      <c r="G222" s="51">
        <f>5.9*41.3</f>
        <v>243.67</v>
      </c>
      <c r="H222" s="454">
        <f>G222*E219</f>
        <v>29679.005999999998</v>
      </c>
      <c r="I222" s="55"/>
      <c r="J222" s="26"/>
      <c r="K222" s="28"/>
    </row>
    <row r="223" spans="2:15" x14ac:dyDescent="0.2">
      <c r="B223" s="14"/>
      <c r="C223" s="390"/>
      <c r="D223" s="431" t="s">
        <v>636</v>
      </c>
      <c r="E223" s="52" t="s">
        <v>641</v>
      </c>
      <c r="F223" s="57"/>
      <c r="G223" s="52">
        <f>6.5*33.95</f>
        <v>220.67500000000001</v>
      </c>
      <c r="H223" s="455">
        <f>G223*E219</f>
        <v>26878.215</v>
      </c>
      <c r="I223" s="57" t="s">
        <v>63</v>
      </c>
      <c r="J223" s="26"/>
      <c r="K223" s="28"/>
    </row>
    <row r="224" spans="2:15" x14ac:dyDescent="0.2">
      <c r="B224" s="14"/>
      <c r="C224" s="390"/>
      <c r="D224" s="27" t="s">
        <v>59</v>
      </c>
      <c r="E224" s="12"/>
      <c r="F224" s="13"/>
      <c r="G224" s="456">
        <f>SUM(G222:G223)</f>
        <v>464.34500000000003</v>
      </c>
      <c r="H224" s="461">
        <f>SUM(H222:H223)</f>
        <v>56557.220999999998</v>
      </c>
      <c r="I224" s="13"/>
      <c r="J224" s="26"/>
      <c r="K224" s="28"/>
    </row>
    <row r="225" spans="2:11" x14ac:dyDescent="0.2">
      <c r="B225" s="14"/>
      <c r="C225" s="390"/>
      <c r="D225" s="65"/>
      <c r="E225" s="51"/>
      <c r="F225" s="55"/>
      <c r="G225" s="453"/>
      <c r="H225" s="51"/>
      <c r="I225" s="55"/>
      <c r="J225" s="28"/>
      <c r="K225" s="28"/>
    </row>
    <row r="226" spans="2:11" x14ac:dyDescent="0.2">
      <c r="B226" s="14"/>
      <c r="C226" s="390" t="s">
        <v>260</v>
      </c>
      <c r="D226" s="14" t="s">
        <v>269</v>
      </c>
      <c r="E226" s="12"/>
      <c r="F226" s="55"/>
      <c r="G226" s="51"/>
      <c r="H226" s="51"/>
      <c r="I226" s="55"/>
      <c r="J226" s="28"/>
      <c r="K226" s="28"/>
    </row>
    <row r="227" spans="2:11" x14ac:dyDescent="0.2">
      <c r="B227" s="14"/>
      <c r="C227" s="390"/>
      <c r="D227" s="65" t="s">
        <v>638</v>
      </c>
      <c r="E227" s="51"/>
      <c r="F227" s="55"/>
      <c r="G227" s="51"/>
      <c r="H227" s="281">
        <f>G224</f>
        <v>464.34500000000003</v>
      </c>
      <c r="I227" s="55" t="s">
        <v>23</v>
      </c>
      <c r="J227" s="28"/>
      <c r="K227" s="28"/>
    </row>
    <row r="228" spans="2:11" x14ac:dyDescent="0.2">
      <c r="B228" s="14"/>
      <c r="C228" s="390"/>
      <c r="D228" s="65"/>
      <c r="E228" s="51"/>
      <c r="F228" s="55"/>
      <c r="G228" s="51"/>
      <c r="H228" s="281"/>
      <c r="I228" s="55"/>
      <c r="J228" s="28"/>
      <c r="K228" s="28"/>
    </row>
    <row r="229" spans="2:11" x14ac:dyDescent="0.2">
      <c r="B229" s="14"/>
      <c r="C229" s="390" t="s">
        <v>261</v>
      </c>
      <c r="D229" s="65" t="s">
        <v>64</v>
      </c>
      <c r="E229" s="51"/>
      <c r="F229" s="55"/>
      <c r="I229" s="453"/>
      <c r="J229" s="28"/>
      <c r="K229" s="28"/>
    </row>
    <row r="230" spans="2:11" x14ac:dyDescent="0.2">
      <c r="B230" s="14"/>
      <c r="C230" s="390"/>
      <c r="D230" s="65" t="s">
        <v>272</v>
      </c>
      <c r="E230" s="51"/>
      <c r="F230" s="55"/>
      <c r="I230" s="453"/>
      <c r="J230" s="28"/>
      <c r="K230" s="28"/>
    </row>
    <row r="231" spans="2:11" x14ac:dyDescent="0.2">
      <c r="B231" s="14"/>
      <c r="C231" s="390"/>
      <c r="D231" s="65"/>
      <c r="E231" s="51"/>
      <c r="F231" s="55"/>
      <c r="G231" s="457" t="s">
        <v>26</v>
      </c>
      <c r="H231" s="457" t="s">
        <v>263</v>
      </c>
      <c r="I231" s="453"/>
      <c r="J231" s="28"/>
      <c r="K231" s="28"/>
    </row>
    <row r="232" spans="2:11" x14ac:dyDescent="0.2">
      <c r="B232" s="14"/>
      <c r="C232" s="390"/>
      <c r="D232" s="65"/>
      <c r="E232" s="51"/>
      <c r="F232" s="55"/>
      <c r="G232" s="457" t="s">
        <v>7</v>
      </c>
      <c r="H232" s="457" t="s">
        <v>63</v>
      </c>
      <c r="I232" s="453"/>
      <c r="J232" s="28"/>
      <c r="K232" s="28"/>
    </row>
    <row r="233" spans="2:11" x14ac:dyDescent="0.2">
      <c r="B233" s="14"/>
      <c r="C233" s="390"/>
      <c r="D233" s="65" t="s">
        <v>141</v>
      </c>
      <c r="E233" s="51"/>
      <c r="F233" s="55"/>
      <c r="G233" s="51">
        <f>75.3*1.15</f>
        <v>86.594999999999985</v>
      </c>
      <c r="H233" s="51"/>
      <c r="J233" s="28"/>
      <c r="K233" s="28"/>
    </row>
    <row r="234" spans="2:11" x14ac:dyDescent="0.2">
      <c r="B234" s="14"/>
      <c r="C234" s="390"/>
      <c r="D234" s="65" t="s">
        <v>270</v>
      </c>
      <c r="E234" s="51">
        <v>25.3</v>
      </c>
      <c r="F234" s="55" t="s">
        <v>266</v>
      </c>
      <c r="G234" s="453"/>
      <c r="I234" s="55"/>
      <c r="J234" s="28"/>
      <c r="K234" s="28"/>
    </row>
    <row r="235" spans="2:11" x14ac:dyDescent="0.2">
      <c r="B235" s="14"/>
      <c r="C235" s="390"/>
      <c r="D235" s="65" t="s">
        <v>276</v>
      </c>
      <c r="E235" s="445"/>
      <c r="F235" s="55"/>
      <c r="G235" s="453"/>
      <c r="H235" s="432">
        <f>G233*E234</f>
        <v>2190.8534999999997</v>
      </c>
      <c r="I235" s="55" t="s">
        <v>63</v>
      </c>
      <c r="J235" s="28"/>
      <c r="K235" s="28"/>
    </row>
    <row r="236" spans="2:11" x14ac:dyDescent="0.2">
      <c r="B236" s="14"/>
      <c r="C236" s="390"/>
      <c r="D236" s="65" t="s">
        <v>493</v>
      </c>
      <c r="E236" s="51"/>
      <c r="F236" s="55"/>
      <c r="G236" s="453"/>
      <c r="H236" s="432"/>
      <c r="I236" s="55"/>
      <c r="J236" s="28"/>
      <c r="K236" s="28"/>
    </row>
    <row r="237" spans="2:11" x14ac:dyDescent="0.2">
      <c r="B237" s="14"/>
      <c r="C237" s="390"/>
      <c r="D237" s="65" t="s">
        <v>267</v>
      </c>
      <c r="E237" s="51">
        <v>3.1</v>
      </c>
      <c r="F237" s="55" t="s">
        <v>7</v>
      </c>
      <c r="G237" s="453"/>
      <c r="H237" s="432"/>
      <c r="I237" s="55"/>
      <c r="J237" s="28"/>
      <c r="K237" s="28"/>
    </row>
    <row r="238" spans="2:11" x14ac:dyDescent="0.2">
      <c r="B238" s="14"/>
      <c r="C238" s="390"/>
      <c r="D238" s="458" t="s">
        <v>494</v>
      </c>
      <c r="E238" s="472">
        <f>G233/2</f>
        <v>43.297499999999992</v>
      </c>
      <c r="F238" s="55" t="s">
        <v>40</v>
      </c>
      <c r="G238" s="453"/>
      <c r="H238" s="432"/>
      <c r="I238" s="55"/>
      <c r="J238" s="28"/>
      <c r="K238" s="28"/>
    </row>
    <row r="239" spans="2:11" x14ac:dyDescent="0.2">
      <c r="B239" s="14"/>
      <c r="C239" s="390"/>
      <c r="D239" s="458" t="s">
        <v>495</v>
      </c>
      <c r="E239" s="51"/>
      <c r="F239" s="55" t="s">
        <v>7</v>
      </c>
      <c r="G239" s="453">
        <f>E238*E237</f>
        <v>134.22224999999997</v>
      </c>
      <c r="H239" s="432"/>
      <c r="I239" s="55"/>
      <c r="J239" s="28"/>
      <c r="K239" s="28"/>
    </row>
    <row r="240" spans="2:11" x14ac:dyDescent="0.2">
      <c r="B240" s="14"/>
      <c r="C240" s="390"/>
      <c r="D240" s="65" t="s">
        <v>270</v>
      </c>
      <c r="E240" s="51">
        <v>9.67</v>
      </c>
      <c r="F240" s="55" t="s">
        <v>266</v>
      </c>
      <c r="G240" s="453"/>
      <c r="H240" s="432"/>
      <c r="I240" s="55"/>
      <c r="J240" s="28"/>
      <c r="K240" s="66"/>
    </row>
    <row r="241" spans="1:11" x14ac:dyDescent="0.2">
      <c r="B241" s="14"/>
      <c r="C241" s="390"/>
      <c r="D241" s="65" t="s">
        <v>276</v>
      </c>
      <c r="E241" s="51"/>
      <c r="F241" s="55"/>
      <c r="G241" s="453"/>
      <c r="H241" s="459">
        <f>E240*G239</f>
        <v>1297.9291574999997</v>
      </c>
      <c r="I241" s="55" t="s">
        <v>271</v>
      </c>
      <c r="J241" s="28"/>
      <c r="K241" s="28"/>
    </row>
    <row r="242" spans="1:11" x14ac:dyDescent="0.2">
      <c r="B242" s="14"/>
      <c r="C242" s="390"/>
      <c r="D242" s="65"/>
      <c r="E242" s="51"/>
      <c r="F242" s="55"/>
      <c r="G242" s="453"/>
      <c r="I242" s="55"/>
      <c r="J242" s="28"/>
      <c r="K242" s="28"/>
    </row>
    <row r="243" spans="1:11" x14ac:dyDescent="0.2">
      <c r="B243" s="14"/>
      <c r="C243" s="398"/>
      <c r="D243" s="431" t="s">
        <v>273</v>
      </c>
      <c r="E243" s="52"/>
      <c r="F243" s="57"/>
      <c r="G243" s="460"/>
      <c r="H243" s="455">
        <f>H235*0.07</f>
        <v>153.359745</v>
      </c>
      <c r="I243" s="57" t="s">
        <v>63</v>
      </c>
      <c r="J243" s="28"/>
      <c r="K243" s="28"/>
    </row>
    <row r="244" spans="1:11" x14ac:dyDescent="0.2">
      <c r="B244" s="14"/>
      <c r="C244" s="390"/>
      <c r="D244" s="65" t="s">
        <v>274</v>
      </c>
      <c r="H244" s="454">
        <f>SUM(H235:H243)</f>
        <v>3642.1424024999997</v>
      </c>
      <c r="I244" s="55" t="s">
        <v>63</v>
      </c>
      <c r="J244" s="28"/>
      <c r="K244" s="28"/>
    </row>
    <row r="245" spans="1:11" ht="15" x14ac:dyDescent="0.2">
      <c r="A245" s="38" t="s">
        <v>275</v>
      </c>
      <c r="B245" s="14"/>
      <c r="C245" s="462"/>
      <c r="D245" s="463"/>
      <c r="E245" s="452"/>
      <c r="F245" s="55"/>
      <c r="G245" s="51"/>
      <c r="H245" s="51"/>
      <c r="I245" s="16"/>
      <c r="J245" s="28"/>
      <c r="K245" s="28"/>
    </row>
    <row r="246" spans="1:11" ht="15" x14ac:dyDescent="0.2">
      <c r="B246" s="14"/>
      <c r="C246" s="462" t="s">
        <v>634</v>
      </c>
      <c r="D246" s="463" t="s">
        <v>640</v>
      </c>
      <c r="E246" s="452"/>
      <c r="F246" s="55"/>
      <c r="G246" s="51"/>
      <c r="H246" s="51"/>
      <c r="I246" s="16"/>
      <c r="J246" s="28"/>
      <c r="K246" s="28"/>
    </row>
    <row r="247" spans="1:11" ht="15" x14ac:dyDescent="0.2">
      <c r="B247" s="14"/>
      <c r="C247" s="462"/>
      <c r="D247" s="463" t="s">
        <v>31</v>
      </c>
      <c r="E247" s="464">
        <f>G224</f>
        <v>464.34500000000003</v>
      </c>
      <c r="F247" s="55" t="s">
        <v>23</v>
      </c>
      <c r="G247" s="51"/>
      <c r="H247" s="51"/>
      <c r="I247" s="16"/>
      <c r="J247" s="28"/>
      <c r="K247" s="28"/>
    </row>
    <row r="248" spans="1:11" ht="15" x14ac:dyDescent="0.2">
      <c r="B248" s="14"/>
      <c r="C248" s="462"/>
      <c r="D248" s="463" t="s">
        <v>263</v>
      </c>
      <c r="E248" s="464">
        <f>H224</f>
        <v>56557.220999999998</v>
      </c>
      <c r="F248" s="55" t="s">
        <v>63</v>
      </c>
      <c r="G248" s="51"/>
      <c r="H248" s="51"/>
      <c r="I248" s="16"/>
      <c r="J248" s="28"/>
      <c r="K248" s="28"/>
    </row>
    <row r="249" spans="1:11" ht="15" x14ac:dyDescent="0.2">
      <c r="B249" s="14"/>
      <c r="C249" s="462"/>
      <c r="D249" s="463"/>
      <c r="E249" s="452"/>
      <c r="F249" s="55"/>
      <c r="G249" s="51"/>
      <c r="H249" s="51"/>
      <c r="I249" s="16"/>
      <c r="J249" s="28"/>
      <c r="K249" s="28"/>
    </row>
    <row r="250" spans="1:11" ht="15" x14ac:dyDescent="0.2">
      <c r="B250" s="14"/>
      <c r="C250" s="462"/>
      <c r="D250" s="463"/>
      <c r="E250" s="452"/>
      <c r="F250" s="55"/>
      <c r="G250" s="51"/>
      <c r="H250" s="51"/>
      <c r="I250" s="16"/>
      <c r="J250" s="28"/>
      <c r="K250" s="28"/>
    </row>
    <row r="251" spans="1:11" ht="11.25" customHeight="1" x14ac:dyDescent="0.2">
      <c r="B251" s="14"/>
      <c r="C251" s="427"/>
      <c r="D251" s="178"/>
      <c r="E251" s="178"/>
      <c r="F251" s="178"/>
      <c r="G251" s="178"/>
      <c r="H251" s="178"/>
      <c r="I251" s="16"/>
      <c r="J251" s="28"/>
      <c r="K251" s="28"/>
    </row>
    <row r="252" spans="1:11" x14ac:dyDescent="0.2">
      <c r="B252" s="14"/>
      <c r="C252" s="427"/>
      <c r="D252" s="178"/>
      <c r="E252" s="178"/>
      <c r="F252" s="178"/>
      <c r="G252" s="178"/>
      <c r="H252" s="178"/>
      <c r="I252" s="16"/>
      <c r="J252" s="28"/>
      <c r="K252" s="28"/>
    </row>
    <row r="253" spans="1:11" x14ac:dyDescent="0.2">
      <c r="C253" s="178"/>
      <c r="D253" s="178"/>
      <c r="E253" s="178"/>
      <c r="F253" s="178"/>
      <c r="G253" s="178"/>
      <c r="H253" s="178"/>
      <c r="I253" s="16"/>
      <c r="J253" s="28"/>
      <c r="K253" s="28"/>
    </row>
    <row r="254" spans="1:11" ht="12.75" customHeight="1" x14ac:dyDescent="0.2">
      <c r="B254" s="14"/>
      <c r="C254" s="426"/>
      <c r="D254" s="178"/>
      <c r="E254" s="178"/>
      <c r="F254" s="178"/>
      <c r="G254" s="178"/>
      <c r="H254" s="178"/>
      <c r="J254" s="28"/>
      <c r="K254" s="28"/>
    </row>
    <row r="255" spans="1:11" x14ac:dyDescent="0.2">
      <c r="B255" s="14"/>
      <c r="C255" s="427"/>
      <c r="D255" s="178"/>
      <c r="E255" s="178"/>
      <c r="F255" s="178"/>
      <c r="G255" s="178"/>
      <c r="H255" s="178"/>
      <c r="J255" s="28"/>
      <c r="K255" s="28"/>
    </row>
    <row r="256" spans="1:11" x14ac:dyDescent="0.2">
      <c r="B256" s="14"/>
      <c r="C256" s="427"/>
      <c r="D256" s="178"/>
      <c r="E256" s="178"/>
      <c r="F256" s="178"/>
      <c r="G256" s="178"/>
      <c r="H256" s="178"/>
      <c r="J256" s="28"/>
      <c r="K256" s="28"/>
    </row>
    <row r="257" spans="2:11" x14ac:dyDescent="0.2">
      <c r="B257" s="14"/>
      <c r="C257" s="427"/>
      <c r="D257" s="178"/>
      <c r="E257" s="178"/>
      <c r="F257" s="178"/>
      <c r="G257" s="178"/>
      <c r="H257" s="178"/>
      <c r="J257" s="28"/>
      <c r="K257" s="28"/>
    </row>
    <row r="258" spans="2:11" x14ac:dyDescent="0.2">
      <c r="B258" s="14"/>
      <c r="C258" s="427"/>
      <c r="D258" s="178"/>
      <c r="E258" s="178"/>
      <c r="F258" s="178"/>
      <c r="G258" s="178"/>
      <c r="H258" s="178"/>
      <c r="J258" s="28"/>
      <c r="K258" s="28"/>
    </row>
    <row r="259" spans="2:11" x14ac:dyDescent="0.2">
      <c r="B259" s="14"/>
      <c r="C259" s="427"/>
      <c r="D259" s="178"/>
      <c r="E259" s="178"/>
      <c r="F259" s="178"/>
      <c r="G259" s="178"/>
      <c r="H259" s="178"/>
      <c r="J259" s="28"/>
      <c r="K259" s="28"/>
    </row>
    <row r="260" spans="2:11" x14ac:dyDescent="0.2">
      <c r="B260" s="14"/>
      <c r="C260" s="176"/>
      <c r="D260" s="178"/>
      <c r="E260" s="178"/>
      <c r="F260" s="178"/>
      <c r="G260" s="178"/>
      <c r="H260" s="178"/>
      <c r="J260" s="28"/>
      <c r="K260" s="28"/>
    </row>
    <row r="261" spans="2:11" x14ac:dyDescent="0.2">
      <c r="B261" s="14"/>
      <c r="C261" s="176"/>
      <c r="D261" s="178"/>
      <c r="E261" s="178"/>
      <c r="F261" s="178"/>
      <c r="G261" s="178"/>
      <c r="H261" s="178"/>
      <c r="J261" s="28"/>
      <c r="K261" s="28"/>
    </row>
    <row r="262" spans="2:11" x14ac:dyDescent="0.2">
      <c r="B262" s="14"/>
      <c r="C262" s="176"/>
      <c r="D262" s="178"/>
      <c r="E262" s="178"/>
      <c r="F262" s="178"/>
      <c r="G262" s="178"/>
      <c r="H262" s="178"/>
      <c r="J262" s="28"/>
      <c r="K262" s="28"/>
    </row>
    <row r="263" spans="2:11" x14ac:dyDescent="0.2">
      <c r="B263" s="14"/>
      <c r="C263" s="176"/>
      <c r="D263" s="178"/>
      <c r="E263" s="178"/>
      <c r="F263" s="178"/>
      <c r="G263" s="178"/>
      <c r="H263" s="178"/>
      <c r="J263" s="28"/>
      <c r="K263" s="28"/>
    </row>
    <row r="264" spans="2:11" x14ac:dyDescent="0.2">
      <c r="B264" s="14"/>
      <c r="C264" s="176"/>
      <c r="D264" s="178"/>
      <c r="E264" s="178"/>
      <c r="F264" s="178"/>
      <c r="G264" s="178"/>
      <c r="H264" s="178"/>
      <c r="J264" s="28"/>
      <c r="K264" s="28"/>
    </row>
    <row r="265" spans="2:11" x14ac:dyDescent="0.2">
      <c r="B265" s="14"/>
      <c r="C265" s="176"/>
      <c r="D265" s="180"/>
      <c r="E265" s="149"/>
      <c r="F265" s="150"/>
      <c r="G265" s="149"/>
      <c r="H265" s="149"/>
      <c r="J265" s="28"/>
      <c r="K265" s="28"/>
    </row>
    <row r="266" spans="2:11" x14ac:dyDescent="0.2">
      <c r="B266" s="14"/>
      <c r="C266" s="159"/>
      <c r="D266" s="180"/>
      <c r="E266" s="149"/>
      <c r="F266" s="150"/>
      <c r="G266" s="149"/>
      <c r="H266" s="149"/>
      <c r="I266" s="16"/>
      <c r="J266" s="28"/>
      <c r="K266" s="28"/>
    </row>
    <row r="267" spans="2:11" x14ac:dyDescent="0.2">
      <c r="B267" s="14"/>
      <c r="C267" s="159"/>
      <c r="D267" s="180"/>
      <c r="E267" s="149"/>
      <c r="F267" s="150"/>
      <c r="G267" s="149"/>
      <c r="H267" s="149"/>
      <c r="I267" s="16"/>
      <c r="J267" s="28"/>
      <c r="K267" s="28"/>
    </row>
    <row r="268" spans="2:11" x14ac:dyDescent="0.2">
      <c r="B268" s="14"/>
      <c r="C268" s="159"/>
      <c r="D268" s="180"/>
      <c r="E268" s="149"/>
      <c r="F268" s="150"/>
      <c r="G268" s="149"/>
      <c r="H268" s="149"/>
      <c r="I268" s="16"/>
      <c r="J268" s="28"/>
      <c r="K268" s="28"/>
    </row>
    <row r="269" spans="2:11" x14ac:dyDescent="0.2">
      <c r="B269" s="14"/>
      <c r="C269" s="159"/>
      <c r="D269" s="180"/>
      <c r="E269" s="149"/>
      <c r="F269" s="150"/>
      <c r="G269" s="149"/>
      <c r="H269" s="149"/>
      <c r="I269" s="16"/>
      <c r="J269" s="28"/>
      <c r="K269" s="28"/>
    </row>
    <row r="270" spans="2:11" x14ac:dyDescent="0.2">
      <c r="B270" s="14"/>
      <c r="C270" s="159"/>
      <c r="D270" s="180"/>
      <c r="E270" s="149"/>
      <c r="F270" s="150"/>
      <c r="G270" s="149"/>
      <c r="H270" s="149"/>
      <c r="I270" s="16"/>
      <c r="J270" s="28"/>
      <c r="K270" s="28"/>
    </row>
    <row r="271" spans="2:11" x14ac:dyDescent="0.2">
      <c r="B271" s="14"/>
      <c r="C271" s="159"/>
      <c r="D271" s="180"/>
      <c r="E271" s="149"/>
      <c r="F271" s="150"/>
      <c r="G271" s="149"/>
      <c r="H271" s="149"/>
      <c r="I271" s="16"/>
      <c r="J271" s="28"/>
      <c r="K271" s="28"/>
    </row>
    <row r="272" spans="2:11" x14ac:dyDescent="0.2">
      <c r="B272" s="14"/>
      <c r="C272" s="159"/>
      <c r="D272" s="180"/>
      <c r="E272" s="149"/>
      <c r="F272" s="150"/>
      <c r="G272" s="149"/>
      <c r="H272" s="149"/>
      <c r="I272" s="16"/>
      <c r="J272" s="28"/>
      <c r="K272" s="28"/>
    </row>
    <row r="273" spans="2:11" x14ac:dyDescent="0.2">
      <c r="B273" s="14"/>
      <c r="C273" s="159"/>
      <c r="D273" s="180"/>
      <c r="E273" s="149"/>
      <c r="F273" s="150"/>
      <c r="G273" s="149"/>
      <c r="H273" s="149"/>
      <c r="I273" s="16"/>
      <c r="J273" s="28"/>
      <c r="K273" s="28"/>
    </row>
    <row r="274" spans="2:11" x14ac:dyDescent="0.2">
      <c r="B274" s="14"/>
      <c r="C274" s="159"/>
      <c r="D274" s="180"/>
      <c r="E274" s="149"/>
      <c r="F274" s="150"/>
      <c r="G274" s="149"/>
      <c r="H274" s="149"/>
      <c r="I274" s="16"/>
      <c r="J274" s="28"/>
      <c r="K274" s="28"/>
    </row>
    <row r="275" spans="2:11" x14ac:dyDescent="0.2">
      <c r="B275" s="14"/>
      <c r="C275" s="159"/>
      <c r="D275" s="180"/>
      <c r="E275" s="149"/>
      <c r="F275" s="150"/>
      <c r="G275" s="149"/>
      <c r="H275" s="149"/>
      <c r="I275" s="16"/>
      <c r="J275" s="28"/>
      <c r="K275" s="28"/>
    </row>
    <row r="276" spans="2:11" x14ac:dyDescent="0.2">
      <c r="B276" s="14"/>
      <c r="C276" s="159"/>
      <c r="D276" s="180"/>
      <c r="E276" s="149"/>
      <c r="F276" s="150"/>
      <c r="G276" s="149"/>
      <c r="H276" s="149"/>
      <c r="I276" s="16"/>
      <c r="J276" s="28"/>
      <c r="K276" s="28"/>
    </row>
    <row r="277" spans="2:11" x14ac:dyDescent="0.2">
      <c r="B277" s="14"/>
      <c r="C277" s="159"/>
      <c r="D277" s="180"/>
      <c r="E277" s="149"/>
      <c r="F277" s="150"/>
      <c r="G277" s="149"/>
      <c r="H277" s="149"/>
      <c r="I277" s="16"/>
      <c r="J277" s="28"/>
      <c r="K277" s="28"/>
    </row>
    <row r="278" spans="2:11" x14ac:dyDescent="0.2">
      <c r="B278" s="14"/>
      <c r="C278" s="159"/>
      <c r="D278" s="180"/>
      <c r="E278" s="149"/>
      <c r="F278" s="150"/>
      <c r="G278" s="149"/>
      <c r="H278" s="149"/>
      <c r="I278" s="16"/>
      <c r="J278" s="28"/>
      <c r="K278" s="28"/>
    </row>
    <row r="279" spans="2:11" x14ac:dyDescent="0.2">
      <c r="B279" s="14"/>
      <c r="C279" s="159"/>
      <c r="D279" s="180"/>
      <c r="E279" s="149"/>
      <c r="F279" s="150"/>
      <c r="G279" s="149"/>
      <c r="H279" s="149"/>
      <c r="I279" s="16"/>
      <c r="J279" s="28"/>
      <c r="K279" s="28"/>
    </row>
    <row r="280" spans="2:11" x14ac:dyDescent="0.2">
      <c r="B280" s="14"/>
      <c r="C280" s="176"/>
      <c r="D280" s="180"/>
      <c r="E280" s="149"/>
      <c r="F280" s="150"/>
      <c r="G280" s="149"/>
      <c r="H280" s="149"/>
      <c r="I280" s="16"/>
      <c r="J280" s="28"/>
      <c r="K280" s="28"/>
    </row>
    <row r="281" spans="2:11" x14ac:dyDescent="0.2">
      <c r="B281" s="14"/>
      <c r="C281" s="176"/>
      <c r="D281" s="180"/>
      <c r="E281" s="149"/>
      <c r="F281" s="150"/>
      <c r="G281" s="149"/>
      <c r="H281" s="149"/>
      <c r="I281" s="16"/>
      <c r="J281" s="28"/>
      <c r="K281" s="28"/>
    </row>
    <row r="282" spans="2:11" x14ac:dyDescent="0.2">
      <c r="B282" s="14"/>
      <c r="C282" s="176"/>
      <c r="D282" s="180"/>
      <c r="E282" s="149"/>
      <c r="F282" s="150"/>
      <c r="G282" s="149"/>
      <c r="H282" s="149"/>
      <c r="I282" s="16"/>
      <c r="J282" s="28"/>
      <c r="K282" s="28"/>
    </row>
    <row r="283" spans="2:11" x14ac:dyDescent="0.2">
      <c r="B283" s="14"/>
      <c r="C283" s="176"/>
      <c r="D283" s="180"/>
      <c r="E283" s="149"/>
      <c r="F283" s="150"/>
      <c r="G283" s="149"/>
      <c r="H283" s="149"/>
      <c r="I283" s="16"/>
      <c r="J283" s="28"/>
      <c r="K283" s="28"/>
    </row>
    <row r="284" spans="2:11" x14ac:dyDescent="0.2">
      <c r="B284" s="14"/>
      <c r="C284" s="176"/>
      <c r="D284" s="180"/>
      <c r="E284" s="149"/>
      <c r="F284" s="150"/>
      <c r="G284" s="149"/>
      <c r="H284" s="149"/>
      <c r="I284" s="16"/>
      <c r="J284" s="28"/>
      <c r="K284" s="28"/>
    </row>
    <row r="285" spans="2:11" x14ac:dyDescent="0.2">
      <c r="B285" s="14"/>
      <c r="C285" s="176"/>
      <c r="D285" s="180"/>
      <c r="E285" s="149"/>
      <c r="F285" s="150"/>
      <c r="G285" s="149"/>
      <c r="H285" s="149"/>
      <c r="I285" s="16"/>
      <c r="J285" s="28"/>
      <c r="K285" s="28"/>
    </row>
    <row r="286" spans="2:11" x14ac:dyDescent="0.2">
      <c r="B286" s="14"/>
      <c r="C286" s="176"/>
      <c r="D286" s="180"/>
      <c r="E286" s="149"/>
      <c r="F286" s="150"/>
      <c r="G286" s="149"/>
      <c r="H286" s="149"/>
      <c r="I286" s="16"/>
      <c r="J286" s="28"/>
      <c r="K286" s="28"/>
    </row>
    <row r="287" spans="2:11" x14ac:dyDescent="0.2">
      <c r="B287" s="14"/>
      <c r="C287" s="176"/>
      <c r="D287" s="180"/>
      <c r="E287" s="149"/>
      <c r="F287" s="150"/>
      <c r="G287" s="149"/>
      <c r="H287" s="149"/>
      <c r="I287" s="16"/>
      <c r="J287" s="28"/>
      <c r="K287" s="28"/>
    </row>
    <row r="288" spans="2:11" x14ac:dyDescent="0.2">
      <c r="B288" s="14"/>
      <c r="C288" s="176"/>
      <c r="D288" s="180"/>
      <c r="E288" s="149"/>
      <c r="F288" s="150"/>
      <c r="G288" s="149"/>
      <c r="H288" s="149"/>
      <c r="I288" s="16"/>
      <c r="J288" s="28"/>
      <c r="K288" s="28"/>
    </row>
    <row r="289" spans="2:11" x14ac:dyDescent="0.2">
      <c r="B289" s="14"/>
      <c r="C289" s="159"/>
      <c r="D289" s="180"/>
      <c r="E289" s="149"/>
      <c r="F289" s="150"/>
      <c r="G289" s="149"/>
      <c r="H289" s="149"/>
      <c r="I289" s="16"/>
      <c r="J289" s="28"/>
      <c r="K289" s="28"/>
    </row>
    <row r="290" spans="2:11" x14ac:dyDescent="0.2">
      <c r="B290" s="14"/>
      <c r="C290" s="159"/>
      <c r="D290" s="180"/>
      <c r="E290" s="149"/>
      <c r="F290" s="150"/>
      <c r="G290" s="149"/>
      <c r="H290" s="149"/>
      <c r="I290" s="16"/>
      <c r="J290" s="28"/>
      <c r="K290" s="28"/>
    </row>
    <row r="291" spans="2:11" x14ac:dyDescent="0.2">
      <c r="B291" s="14"/>
      <c r="C291" s="159"/>
      <c r="D291" s="180"/>
      <c r="E291" s="149"/>
      <c r="F291" s="150"/>
      <c r="G291" s="149"/>
      <c r="H291" s="149"/>
      <c r="I291" s="16"/>
      <c r="J291" s="28"/>
      <c r="K291" s="28"/>
    </row>
    <row r="292" spans="2:11" x14ac:dyDescent="0.2">
      <c r="B292" s="14"/>
      <c r="C292" s="159"/>
      <c r="D292" s="180"/>
      <c r="E292" s="149"/>
      <c r="F292" s="150"/>
      <c r="G292" s="149"/>
      <c r="H292" s="149"/>
      <c r="I292" s="16"/>
      <c r="J292" s="28"/>
      <c r="K292" s="28"/>
    </row>
    <row r="293" spans="2:11" x14ac:dyDescent="0.2">
      <c r="B293" s="14"/>
      <c r="C293" s="159"/>
      <c r="D293" s="180"/>
      <c r="E293" s="149"/>
      <c r="F293" s="150"/>
      <c r="G293" s="149"/>
      <c r="H293" s="149"/>
      <c r="I293" s="16"/>
      <c r="J293" s="28"/>
      <c r="K293" s="28"/>
    </row>
    <row r="294" spans="2:11" x14ac:dyDescent="0.2">
      <c r="B294" s="14"/>
      <c r="C294" s="159"/>
      <c r="D294" s="180"/>
      <c r="E294" s="149"/>
      <c r="F294" s="150"/>
      <c r="G294" s="149"/>
      <c r="H294" s="149"/>
      <c r="I294" s="16"/>
      <c r="J294" s="28"/>
      <c r="K294" s="28"/>
    </row>
    <row r="295" spans="2:11" x14ac:dyDescent="0.2">
      <c r="B295" s="14"/>
      <c r="C295" s="159"/>
      <c r="D295" s="428"/>
      <c r="E295" s="149"/>
      <c r="F295" s="150"/>
      <c r="G295" s="149"/>
      <c r="H295" s="149"/>
      <c r="I295" s="16"/>
      <c r="J295" s="28"/>
      <c r="K295" s="28"/>
    </row>
    <row r="296" spans="2:11" x14ac:dyDescent="0.2">
      <c r="B296" s="14"/>
      <c r="C296" s="159"/>
      <c r="D296" s="428"/>
      <c r="E296" s="149"/>
      <c r="F296" s="150"/>
      <c r="G296" s="149"/>
      <c r="H296" s="149"/>
      <c r="I296" s="16"/>
      <c r="J296" s="28"/>
      <c r="K296" s="28"/>
    </row>
    <row r="297" spans="2:11" x14ac:dyDescent="0.2">
      <c r="B297" s="14"/>
      <c r="C297" s="159"/>
      <c r="D297" s="428"/>
      <c r="E297" s="149"/>
      <c r="F297" s="150"/>
      <c r="G297" s="149"/>
      <c r="H297" s="149"/>
      <c r="I297" s="16"/>
      <c r="J297" s="28"/>
      <c r="K297" s="28"/>
    </row>
    <row r="298" spans="2:11" x14ac:dyDescent="0.2">
      <c r="B298" s="14"/>
      <c r="C298" s="159"/>
      <c r="D298" s="428"/>
      <c r="E298" s="149"/>
      <c r="F298" s="150"/>
      <c r="G298" s="149"/>
      <c r="H298" s="149"/>
      <c r="I298" s="16"/>
      <c r="J298" s="28"/>
      <c r="K298" s="28"/>
    </row>
    <row r="299" spans="2:11" x14ac:dyDescent="0.2">
      <c r="B299" s="14"/>
      <c r="C299" s="159"/>
      <c r="D299" s="180"/>
      <c r="E299" s="149"/>
      <c r="F299" s="150"/>
      <c r="G299" s="149"/>
      <c r="H299" s="149"/>
      <c r="I299" s="16"/>
      <c r="J299" s="28"/>
      <c r="K299" s="28"/>
    </row>
    <row r="300" spans="2:11" x14ac:dyDescent="0.2">
      <c r="B300" s="14"/>
      <c r="C300" s="180"/>
      <c r="D300" s="180"/>
      <c r="E300" s="180"/>
      <c r="F300" s="180"/>
      <c r="G300" s="180"/>
      <c r="H300" s="180"/>
      <c r="I300" s="26"/>
      <c r="J300" s="28"/>
      <c r="K300" s="28"/>
    </row>
    <row r="301" spans="2:11" x14ac:dyDescent="0.2">
      <c r="B301" s="14"/>
      <c r="C301" s="180"/>
      <c r="D301" s="180"/>
      <c r="E301" s="180"/>
      <c r="F301" s="180"/>
      <c r="G301" s="180"/>
      <c r="H301" s="180"/>
      <c r="I301" s="26"/>
      <c r="J301" s="28"/>
      <c r="K301" s="28"/>
    </row>
    <row r="302" spans="2:11" x14ac:dyDescent="0.2">
      <c r="B302" s="14"/>
      <c r="C302" s="180"/>
      <c r="D302" s="180"/>
      <c r="E302" s="180"/>
      <c r="F302" s="180"/>
      <c r="G302" s="180"/>
      <c r="H302" s="180"/>
      <c r="I302" s="26"/>
      <c r="J302" s="28"/>
      <c r="K302" s="28"/>
    </row>
    <row r="303" spans="2:11" x14ac:dyDescent="0.2">
      <c r="B303" s="14"/>
      <c r="C303" s="130"/>
      <c r="D303" s="130"/>
      <c r="E303" s="130"/>
      <c r="F303" s="130"/>
      <c r="G303" s="130"/>
      <c r="H303" s="130"/>
      <c r="I303" s="14"/>
    </row>
    <row r="304" spans="2:11" x14ac:dyDescent="0.2">
      <c r="B304" s="14"/>
      <c r="C304" s="130"/>
      <c r="D304" s="130"/>
      <c r="E304" s="130"/>
      <c r="F304" s="130"/>
      <c r="G304" s="130"/>
      <c r="H304" s="130"/>
      <c r="I304" s="14"/>
    </row>
    <row r="305" spans="2:9" x14ac:dyDescent="0.2">
      <c r="B305" s="14"/>
      <c r="C305" s="130"/>
      <c r="D305" s="130"/>
      <c r="E305" s="130"/>
      <c r="F305" s="130"/>
      <c r="G305" s="130"/>
      <c r="H305" s="130"/>
      <c r="I305" s="14"/>
    </row>
    <row r="306" spans="2:9" x14ac:dyDescent="0.2">
      <c r="B306" s="14"/>
      <c r="C306" s="130"/>
      <c r="D306" s="130"/>
      <c r="E306" s="130"/>
      <c r="F306" s="130"/>
      <c r="G306" s="130"/>
      <c r="H306" s="130"/>
      <c r="I306" s="14"/>
    </row>
    <row r="307" spans="2:9" x14ac:dyDescent="0.2">
      <c r="B307" s="14"/>
      <c r="C307" s="130"/>
      <c r="D307" s="130"/>
      <c r="E307" s="130"/>
      <c r="F307" s="130"/>
      <c r="G307" s="130"/>
      <c r="H307" s="130"/>
      <c r="I307" s="14"/>
    </row>
    <row r="308" spans="2:9" x14ac:dyDescent="0.2">
      <c r="B308" s="14"/>
      <c r="C308" s="130"/>
      <c r="D308" s="130"/>
      <c r="E308" s="130"/>
      <c r="F308" s="130"/>
      <c r="G308" s="130"/>
      <c r="H308" s="130"/>
      <c r="I308" s="14"/>
    </row>
    <row r="309" spans="2:9" x14ac:dyDescent="0.2">
      <c r="B309" s="14"/>
      <c r="C309" s="130"/>
      <c r="D309" s="130"/>
      <c r="E309" s="130"/>
      <c r="F309" s="130"/>
      <c r="G309" s="130"/>
      <c r="H309" s="130"/>
      <c r="I309" s="14"/>
    </row>
    <row r="310" spans="2:9" x14ac:dyDescent="0.2">
      <c r="B310" s="14"/>
      <c r="C310" s="130"/>
      <c r="D310" s="130"/>
      <c r="E310" s="130"/>
      <c r="F310" s="130"/>
      <c r="G310" s="130"/>
      <c r="H310" s="130"/>
      <c r="I310" s="14"/>
    </row>
    <row r="311" spans="2:9" x14ac:dyDescent="0.2">
      <c r="B311" s="14"/>
      <c r="C311" s="130"/>
      <c r="D311" s="130"/>
      <c r="E311" s="130"/>
      <c r="F311" s="130"/>
      <c r="G311" s="130"/>
      <c r="H311" s="130"/>
      <c r="I311" s="14"/>
    </row>
    <row r="312" spans="2:9" x14ac:dyDescent="0.2">
      <c r="B312" s="14"/>
      <c r="C312" s="130"/>
      <c r="D312" s="130"/>
      <c r="E312" s="130"/>
      <c r="F312" s="130"/>
      <c r="G312" s="130"/>
      <c r="H312" s="130"/>
      <c r="I312" s="14"/>
    </row>
    <row r="313" spans="2:9" x14ac:dyDescent="0.2">
      <c r="B313" s="14"/>
      <c r="C313" s="130"/>
      <c r="D313" s="130"/>
      <c r="E313" s="130"/>
      <c r="F313" s="130"/>
      <c r="G313" s="130"/>
      <c r="H313" s="130"/>
      <c r="I313" s="14"/>
    </row>
    <row r="314" spans="2:9" x14ac:dyDescent="0.2">
      <c r="B314" s="14"/>
      <c r="C314" s="130"/>
      <c r="D314" s="130"/>
      <c r="E314" s="130"/>
      <c r="F314" s="130"/>
      <c r="G314" s="130"/>
      <c r="H314" s="130"/>
      <c r="I314" s="14"/>
    </row>
    <row r="315" spans="2:9" x14ac:dyDescent="0.2">
      <c r="B315" s="14"/>
      <c r="C315" s="130"/>
      <c r="D315" s="130"/>
      <c r="E315" s="130"/>
      <c r="F315" s="130"/>
      <c r="G315" s="130"/>
      <c r="H315" s="130"/>
      <c r="I315" s="14"/>
    </row>
    <row r="316" spans="2:9" x14ac:dyDescent="0.2">
      <c r="B316" s="14"/>
      <c r="C316" s="130"/>
      <c r="D316" s="130"/>
      <c r="E316" s="130"/>
      <c r="F316" s="130"/>
      <c r="G316" s="130"/>
      <c r="H316" s="130"/>
      <c r="I316" s="14"/>
    </row>
    <row r="317" spans="2:9" x14ac:dyDescent="0.2">
      <c r="B317" s="14"/>
      <c r="C317" s="130"/>
      <c r="D317" s="130"/>
      <c r="E317" s="130"/>
      <c r="F317" s="130"/>
      <c r="G317" s="130"/>
      <c r="H317" s="130"/>
      <c r="I317" s="14"/>
    </row>
    <row r="318" spans="2:9" x14ac:dyDescent="0.2">
      <c r="B318" s="14"/>
      <c r="C318" s="130"/>
      <c r="D318" s="130"/>
      <c r="E318" s="130"/>
      <c r="F318" s="130"/>
      <c r="G318" s="130"/>
      <c r="H318" s="130"/>
      <c r="I318" s="14"/>
    </row>
    <row r="319" spans="2:9" x14ac:dyDescent="0.2">
      <c r="B319" s="14"/>
      <c r="C319" s="130"/>
      <c r="D319" s="130"/>
      <c r="E319" s="130"/>
      <c r="F319" s="130"/>
      <c r="G319" s="130"/>
      <c r="H319" s="130"/>
      <c r="I319" s="14"/>
    </row>
    <row r="320" spans="2:9" x14ac:dyDescent="0.2">
      <c r="B320" s="14"/>
      <c r="C320" s="130"/>
      <c r="D320" s="130"/>
      <c r="E320" s="130"/>
      <c r="F320" s="130"/>
      <c r="G320" s="130"/>
      <c r="H320" s="130"/>
      <c r="I320" s="14"/>
    </row>
    <row r="321" spans="2:9" x14ac:dyDescent="0.2">
      <c r="B321" s="14"/>
      <c r="C321" s="130"/>
      <c r="D321" s="130"/>
      <c r="E321" s="130"/>
      <c r="F321" s="130"/>
      <c r="G321" s="130"/>
      <c r="H321" s="130"/>
      <c r="I321" s="14"/>
    </row>
    <row r="322" spans="2:9" x14ac:dyDescent="0.2">
      <c r="B322" s="14"/>
      <c r="C322" s="130"/>
      <c r="D322" s="130"/>
      <c r="E322" s="130"/>
      <c r="F322" s="130"/>
      <c r="G322" s="130"/>
      <c r="H322" s="130"/>
      <c r="I322" s="14"/>
    </row>
    <row r="323" spans="2:9" x14ac:dyDescent="0.2">
      <c r="B323" s="14"/>
      <c r="C323" s="130"/>
      <c r="D323" s="130"/>
      <c r="E323" s="130"/>
      <c r="F323" s="130"/>
      <c r="G323" s="130"/>
      <c r="H323" s="130"/>
      <c r="I323" s="14"/>
    </row>
    <row r="324" spans="2:9" x14ac:dyDescent="0.2">
      <c r="B324" s="14"/>
      <c r="C324" s="14"/>
      <c r="D324" s="14"/>
      <c r="E324" s="14"/>
      <c r="F324" s="14"/>
      <c r="G324" s="14"/>
      <c r="H324" s="14"/>
      <c r="I324" s="14"/>
    </row>
    <row r="325" spans="2:9" x14ac:dyDescent="0.2">
      <c r="B325" s="14"/>
      <c r="C325" s="14"/>
      <c r="D325" s="14"/>
      <c r="E325" s="14"/>
      <c r="F325" s="14"/>
      <c r="G325" s="14"/>
      <c r="H325" s="14"/>
      <c r="I325" s="14"/>
    </row>
    <row r="326" spans="2:9" x14ac:dyDescent="0.2">
      <c r="B326" s="14"/>
      <c r="C326" s="14"/>
      <c r="D326" s="14"/>
      <c r="E326" s="14"/>
      <c r="F326" s="14"/>
      <c r="G326" s="14"/>
      <c r="H326" s="14"/>
      <c r="I326" s="14"/>
    </row>
    <row r="327" spans="2:9" x14ac:dyDescent="0.2">
      <c r="B327" s="14"/>
      <c r="C327" s="14"/>
      <c r="D327" s="14"/>
      <c r="E327" s="14"/>
      <c r="F327" s="14"/>
      <c r="G327" s="14"/>
      <c r="H327" s="14"/>
      <c r="I327" s="14"/>
    </row>
    <row r="328" spans="2:9" x14ac:dyDescent="0.2">
      <c r="B328" s="14"/>
      <c r="C328" s="14"/>
      <c r="D328" s="14"/>
      <c r="E328" s="14"/>
      <c r="F328" s="14"/>
      <c r="G328" s="14"/>
      <c r="H328" s="14"/>
      <c r="I328" s="14"/>
    </row>
    <row r="329" spans="2:9" x14ac:dyDescent="0.2">
      <c r="B329" s="14"/>
      <c r="C329" s="14"/>
      <c r="D329" s="14"/>
      <c r="E329" s="14"/>
      <c r="F329" s="14"/>
      <c r="G329" s="14"/>
      <c r="H329" s="14"/>
      <c r="I329" s="14"/>
    </row>
    <row r="330" spans="2:9" x14ac:dyDescent="0.2">
      <c r="B330" s="14"/>
      <c r="C330" s="41"/>
      <c r="D330" s="14"/>
      <c r="E330" s="14"/>
      <c r="F330" s="14"/>
      <c r="G330" s="14"/>
      <c r="H330" s="14"/>
      <c r="I330" s="14"/>
    </row>
    <row r="331" spans="2:9" x14ac:dyDescent="0.2">
      <c r="B331" s="14"/>
      <c r="C331" s="41"/>
      <c r="D331" s="14"/>
      <c r="E331" s="14"/>
      <c r="F331" s="14"/>
      <c r="G331" s="14"/>
      <c r="H331" s="14"/>
      <c r="I331" s="14"/>
    </row>
    <row r="332" spans="2:9" x14ac:dyDescent="0.2">
      <c r="B332" s="14"/>
      <c r="C332" s="41"/>
      <c r="D332" s="14"/>
      <c r="E332" s="14"/>
      <c r="F332" s="14"/>
      <c r="G332" s="14"/>
      <c r="H332" s="14"/>
      <c r="I332" s="14"/>
    </row>
    <row r="333" spans="2:9" x14ac:dyDescent="0.2">
      <c r="B333" s="14"/>
      <c r="C333" s="41"/>
      <c r="D333" s="14"/>
      <c r="E333" s="14"/>
      <c r="F333" s="14"/>
      <c r="G333" s="14"/>
      <c r="H333" s="14"/>
      <c r="I333" s="14"/>
    </row>
    <row r="334" spans="2:9" x14ac:dyDescent="0.2">
      <c r="B334" s="14"/>
      <c r="C334" s="41"/>
      <c r="D334" s="14"/>
      <c r="E334" s="14"/>
      <c r="F334" s="14"/>
      <c r="G334" s="14"/>
      <c r="H334" s="14"/>
      <c r="I334" s="14"/>
    </row>
    <row r="335" spans="2:9" x14ac:dyDescent="0.2">
      <c r="B335" s="14"/>
      <c r="C335" s="41"/>
      <c r="D335" s="14"/>
      <c r="E335" s="14"/>
      <c r="F335" s="14"/>
      <c r="G335" s="14"/>
      <c r="H335" s="14"/>
      <c r="I335" s="14"/>
    </row>
    <row r="336" spans="2:9" x14ac:dyDescent="0.2">
      <c r="B336" s="14"/>
      <c r="C336" s="41"/>
      <c r="D336" s="14"/>
      <c r="E336" s="14"/>
      <c r="F336" s="14"/>
      <c r="G336" s="14"/>
      <c r="H336" s="14"/>
      <c r="I336" s="14"/>
    </row>
    <row r="337" spans="2:9" x14ac:dyDescent="0.2">
      <c r="B337" s="14"/>
      <c r="C337" s="41"/>
      <c r="D337" s="14"/>
      <c r="E337" s="14"/>
      <c r="F337" s="14"/>
      <c r="G337" s="14"/>
      <c r="H337" s="14"/>
      <c r="I337" s="14"/>
    </row>
    <row r="338" spans="2:9" x14ac:dyDescent="0.2">
      <c r="B338" s="14"/>
      <c r="C338" s="41"/>
      <c r="D338" s="14"/>
      <c r="E338" s="14"/>
      <c r="F338" s="14"/>
      <c r="G338" s="14"/>
      <c r="H338" s="14"/>
      <c r="I338" s="14"/>
    </row>
    <row r="339" spans="2:9" x14ac:dyDescent="0.2">
      <c r="B339" s="14"/>
      <c r="C339" s="41"/>
      <c r="D339" s="14"/>
      <c r="E339" s="14"/>
      <c r="F339" s="14"/>
      <c r="G339" s="14"/>
      <c r="H339" s="14"/>
      <c r="I339" s="14"/>
    </row>
    <row r="340" spans="2:9" x14ac:dyDescent="0.2">
      <c r="B340" s="14"/>
      <c r="C340" s="41"/>
      <c r="D340" s="14"/>
      <c r="E340" s="14"/>
      <c r="F340" s="14"/>
      <c r="G340" s="14"/>
      <c r="H340" s="14"/>
      <c r="I340" s="14"/>
    </row>
    <row r="341" spans="2:9" x14ac:dyDescent="0.2">
      <c r="B341" s="14"/>
      <c r="C341" s="41"/>
      <c r="D341" s="14"/>
      <c r="E341" s="14"/>
      <c r="F341" s="14"/>
      <c r="G341" s="14"/>
      <c r="H341" s="14"/>
      <c r="I341" s="14"/>
    </row>
    <row r="342" spans="2:9" x14ac:dyDescent="0.2">
      <c r="B342" s="14"/>
      <c r="C342" s="41"/>
      <c r="D342" s="14"/>
      <c r="E342" s="14"/>
      <c r="F342" s="14"/>
      <c r="G342" s="14"/>
      <c r="H342" s="14"/>
      <c r="I342" s="14"/>
    </row>
    <row r="343" spans="2:9" x14ac:dyDescent="0.2">
      <c r="B343" s="14"/>
      <c r="C343" s="41"/>
      <c r="D343" s="14"/>
      <c r="E343" s="14"/>
      <c r="F343" s="14"/>
      <c r="G343" s="14"/>
      <c r="H343" s="14"/>
      <c r="I343" s="14"/>
    </row>
  </sheetData>
  <pageMargins left="0.51181102362204722" right="0.51181102362204722" top="0.78740157480314965" bottom="0.78740157480314965" header="0.31496062992125984" footer="0.31496062992125984"/>
  <pageSetup paperSize="9" orientation="portrait" r:id="rId1"/>
  <headerFooter>
    <oddHeader>&amp;RVýkaz výměr  SO 05</oddHeader>
    <oddFooter>&amp;L&amp;F&amp;C&amp;A]&amp;R&amp;10&amp;P/&amp;N</oddFooter>
  </headerFooter>
  <rowBreaks count="2" manualBreakCount="2">
    <brk id="55" min="2" max="8" man="1"/>
    <brk id="168" min="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0"/>
  <sheetViews>
    <sheetView topLeftCell="A127" zoomScale="115" zoomScaleNormal="115" zoomScaleSheetLayoutView="100" workbookViewId="0">
      <selection activeCell="B101" sqref="B101"/>
    </sheetView>
  </sheetViews>
  <sheetFormatPr defaultRowHeight="15" x14ac:dyDescent="0.25"/>
  <cols>
    <col min="1" max="1" width="6.85546875" style="22" customWidth="1"/>
    <col min="2" max="3" width="9.140625" style="21"/>
    <col min="4" max="4" width="11.140625" style="21" customWidth="1"/>
    <col min="5" max="5" width="9.140625" style="21"/>
    <col min="6" max="6" width="11.85546875" style="21" bestFit="1" customWidth="1"/>
    <col min="7" max="10" width="9.140625" style="21"/>
    <col min="11" max="11" width="11.42578125" style="21" customWidth="1"/>
    <col min="12" max="16384" width="9.140625" style="21"/>
  </cols>
  <sheetData>
    <row r="1" spans="1:6" x14ac:dyDescent="0.25">
      <c r="A1" s="58" t="s">
        <v>19</v>
      </c>
      <c r="B1" s="59"/>
      <c r="C1" s="67"/>
      <c r="D1" s="70"/>
      <c r="E1" s="23"/>
      <c r="F1" s="23"/>
    </row>
    <row r="2" spans="1:6" x14ac:dyDescent="0.25">
      <c r="A2" s="60" t="s">
        <v>17</v>
      </c>
      <c r="B2" s="59"/>
      <c r="C2" s="68"/>
      <c r="D2" s="70"/>
      <c r="E2" s="23"/>
      <c r="F2" s="23"/>
    </row>
    <row r="3" spans="1:6" x14ac:dyDescent="0.25">
      <c r="A3" s="61" t="s">
        <v>0</v>
      </c>
      <c r="B3" s="62"/>
      <c r="C3" s="69"/>
      <c r="D3" s="62"/>
      <c r="E3" s="23"/>
      <c r="F3" s="23"/>
    </row>
    <row r="4" spans="1:6" x14ac:dyDescent="0.25">
      <c r="A4" s="61" t="s">
        <v>1</v>
      </c>
      <c r="B4" s="62"/>
      <c r="C4" s="69"/>
      <c r="D4" s="62"/>
      <c r="E4" s="23"/>
      <c r="F4" s="23"/>
    </row>
    <row r="5" spans="1:6" x14ac:dyDescent="0.25">
      <c r="A5" s="63" t="s">
        <v>779</v>
      </c>
      <c r="B5" s="62"/>
      <c r="C5" s="63"/>
      <c r="D5" s="62"/>
      <c r="E5" s="23"/>
      <c r="F5" s="23"/>
    </row>
    <row r="6" spans="1:6" x14ac:dyDescent="0.25">
      <c r="A6" s="21"/>
      <c r="E6" s="23"/>
      <c r="F6" s="23"/>
    </row>
    <row r="7" spans="1:6" x14ac:dyDescent="0.25">
      <c r="A7" s="68" t="s">
        <v>18</v>
      </c>
      <c r="E7" s="23"/>
      <c r="F7" s="23"/>
    </row>
    <row r="8" spans="1:6" x14ac:dyDescent="0.25">
      <c r="A8" s="68" t="s">
        <v>462</v>
      </c>
      <c r="B8" s="71"/>
      <c r="C8" s="68"/>
      <c r="D8" s="71"/>
      <c r="E8" s="23"/>
      <c r="F8" s="23"/>
    </row>
    <row r="9" spans="1:6" x14ac:dyDescent="0.25">
      <c r="A9" s="72"/>
      <c r="B9" s="23"/>
      <c r="C9" s="23"/>
      <c r="D9" s="23"/>
      <c r="E9" s="23"/>
      <c r="F9" s="23"/>
    </row>
    <row r="10" spans="1:6" x14ac:dyDescent="0.25">
      <c r="A10" s="64">
        <v>8</v>
      </c>
      <c r="B10" s="4" t="s">
        <v>281</v>
      </c>
      <c r="C10" s="4"/>
    </row>
    <row r="11" spans="1:6" x14ac:dyDescent="0.25">
      <c r="A11" s="73" t="s">
        <v>282</v>
      </c>
      <c r="B11" s="21" t="s">
        <v>288</v>
      </c>
      <c r="D11" s="4" t="s">
        <v>498</v>
      </c>
    </row>
    <row r="12" spans="1:6" x14ac:dyDescent="0.25">
      <c r="A12" s="73"/>
    </row>
    <row r="13" spans="1:6" x14ac:dyDescent="0.25">
      <c r="A13" s="73"/>
    </row>
    <row r="14" spans="1:6" x14ac:dyDescent="0.25">
      <c r="A14" s="73"/>
    </row>
    <row r="15" spans="1:6" x14ac:dyDescent="0.25">
      <c r="A15" s="73"/>
    </row>
    <row r="16" spans="1:6" x14ac:dyDescent="0.25">
      <c r="A16" s="73"/>
    </row>
    <row r="17" spans="1:14" x14ac:dyDescent="0.25">
      <c r="A17" s="73"/>
    </row>
    <row r="18" spans="1:14" x14ac:dyDescent="0.25">
      <c r="A18" s="73"/>
    </row>
    <row r="19" spans="1:14" x14ac:dyDescent="0.25">
      <c r="A19" s="73"/>
    </row>
    <row r="20" spans="1:14" x14ac:dyDescent="0.25">
      <c r="A20" s="73"/>
    </row>
    <row r="21" spans="1:14" ht="15.75" thickBot="1" x14ac:dyDescent="0.3">
      <c r="A21" s="73"/>
    </row>
    <row r="22" spans="1:14" x14ac:dyDescent="0.25">
      <c r="A22" s="73" t="s">
        <v>283</v>
      </c>
      <c r="B22" s="109" t="s">
        <v>544</v>
      </c>
      <c r="C22" s="75"/>
      <c r="D22" s="75"/>
      <c r="E22" s="75"/>
      <c r="F22" s="75"/>
      <c r="G22" s="76" t="s">
        <v>58</v>
      </c>
      <c r="H22" s="77" t="s">
        <v>405</v>
      </c>
      <c r="I22" s="75"/>
      <c r="J22" s="78" t="s">
        <v>201</v>
      </c>
      <c r="K22" s="79"/>
    </row>
    <row r="23" spans="1:14" x14ac:dyDescent="0.25">
      <c r="A23" s="44"/>
      <c r="B23" s="82" t="s">
        <v>26</v>
      </c>
      <c r="C23" s="84"/>
      <c r="D23" s="84"/>
      <c r="E23" s="84"/>
      <c r="F23" s="102" t="s">
        <v>787</v>
      </c>
      <c r="G23" s="82">
        <v>100</v>
      </c>
      <c r="H23" s="82">
        <v>55</v>
      </c>
      <c r="I23" s="82"/>
      <c r="J23" s="110">
        <f>SUM(G23:H23)</f>
        <v>155</v>
      </c>
      <c r="K23" s="111" t="s">
        <v>7</v>
      </c>
    </row>
    <row r="24" spans="1:14" x14ac:dyDescent="0.25">
      <c r="A24" s="44"/>
      <c r="B24" s="87" t="s">
        <v>401</v>
      </c>
      <c r="C24" s="84"/>
      <c r="D24" s="84"/>
      <c r="E24" s="84"/>
      <c r="F24" s="84"/>
      <c r="G24" s="112"/>
      <c r="H24" s="82"/>
      <c r="I24" s="82" t="s">
        <v>7</v>
      </c>
      <c r="J24" s="110"/>
      <c r="K24" s="111"/>
    </row>
    <row r="25" spans="1:14" x14ac:dyDescent="0.25">
      <c r="A25" s="44"/>
      <c r="B25" s="87" t="s">
        <v>404</v>
      </c>
      <c r="C25" s="84"/>
      <c r="D25" s="84"/>
      <c r="E25" s="84"/>
      <c r="F25" s="84"/>
      <c r="G25" s="84">
        <f>G23/2.5+2-6</f>
        <v>36</v>
      </c>
      <c r="H25" s="84">
        <v>20</v>
      </c>
      <c r="I25" s="82"/>
      <c r="J25" s="110">
        <f>SUM(G25:H25)</f>
        <v>56</v>
      </c>
      <c r="K25" s="111" t="s">
        <v>40</v>
      </c>
    </row>
    <row r="26" spans="1:14" x14ac:dyDescent="0.25">
      <c r="A26" s="44"/>
      <c r="B26" s="87" t="s">
        <v>403</v>
      </c>
      <c r="C26" s="84"/>
      <c r="D26" s="84"/>
      <c r="E26" s="84"/>
      <c r="F26" s="84"/>
      <c r="G26" s="84">
        <v>6</v>
      </c>
      <c r="H26" s="82">
        <v>2</v>
      </c>
      <c r="I26" s="82" t="s">
        <v>40</v>
      </c>
      <c r="J26" s="110">
        <f>SUM(G26:H26)</f>
        <v>8</v>
      </c>
      <c r="K26" s="111" t="s">
        <v>40</v>
      </c>
      <c r="M26" s="82"/>
      <c r="N26" s="82"/>
    </row>
    <row r="27" spans="1:14" x14ac:dyDescent="0.25">
      <c r="A27" s="44"/>
      <c r="B27" s="87" t="s">
        <v>402</v>
      </c>
      <c r="C27" s="84"/>
      <c r="D27" s="84"/>
      <c r="E27" s="84"/>
      <c r="F27" s="84"/>
      <c r="G27" s="84">
        <f>G23*1.8</f>
        <v>180</v>
      </c>
      <c r="H27" s="84">
        <f>H23*1.8</f>
        <v>99</v>
      </c>
      <c r="I27" s="82"/>
      <c r="J27" s="110">
        <f>SUM(G27:H27)</f>
        <v>279</v>
      </c>
      <c r="K27" s="111" t="s">
        <v>23</v>
      </c>
      <c r="M27" s="82"/>
      <c r="N27" s="82"/>
    </row>
    <row r="28" spans="1:14" x14ac:dyDescent="0.25">
      <c r="A28" s="44"/>
      <c r="B28" s="87" t="s">
        <v>545</v>
      </c>
      <c r="C28" s="84"/>
      <c r="D28" s="84"/>
      <c r="E28" s="84"/>
      <c r="F28" s="84"/>
      <c r="G28" s="84"/>
      <c r="H28" s="82"/>
      <c r="I28" s="82" t="s">
        <v>23</v>
      </c>
      <c r="J28" s="110"/>
      <c r="K28" s="111"/>
      <c r="M28" s="82"/>
      <c r="N28" s="82"/>
    </row>
    <row r="29" spans="1:14" ht="12.75" customHeight="1" thickBot="1" x14ac:dyDescent="0.3">
      <c r="A29" s="44"/>
      <c r="B29" s="113" t="s">
        <v>543</v>
      </c>
      <c r="C29" s="88"/>
      <c r="D29" s="88"/>
      <c r="E29" s="88"/>
      <c r="F29" s="88"/>
      <c r="G29" s="88"/>
      <c r="H29" s="88"/>
      <c r="I29" s="88"/>
      <c r="J29" s="114"/>
      <c r="K29" s="115"/>
    </row>
    <row r="30" spans="1:14" x14ac:dyDescent="0.25">
      <c r="A30" s="83"/>
      <c r="B30" s="84"/>
      <c r="C30" s="84"/>
      <c r="D30" s="84"/>
      <c r="E30" s="84"/>
      <c r="F30" s="84"/>
      <c r="G30" s="84"/>
      <c r="H30" s="84"/>
      <c r="I30" s="82"/>
      <c r="J30" s="82"/>
      <c r="K30" s="82"/>
    </row>
    <row r="31" spans="1:14" x14ac:dyDescent="0.25">
      <c r="A31" s="85" t="s">
        <v>284</v>
      </c>
      <c r="B31" s="86" t="s">
        <v>285</v>
      </c>
      <c r="C31" s="84"/>
      <c r="D31" s="84"/>
      <c r="E31" s="84"/>
      <c r="F31" s="102" t="s">
        <v>522</v>
      </c>
      <c r="G31" s="84"/>
      <c r="H31" s="84"/>
      <c r="I31" s="84"/>
      <c r="J31" s="84"/>
      <c r="K31" s="84"/>
      <c r="L31" s="20"/>
      <c r="M31" s="20"/>
    </row>
    <row r="32" spans="1:14" x14ac:dyDescent="0.25">
      <c r="A32" s="85"/>
      <c r="B32" s="87" t="s">
        <v>499</v>
      </c>
      <c r="C32" s="84"/>
      <c r="D32" s="84"/>
      <c r="E32" s="84"/>
      <c r="F32" s="84"/>
      <c r="G32" s="84"/>
      <c r="H32" s="84"/>
      <c r="I32" s="84"/>
      <c r="J32" s="84"/>
      <c r="K32" s="84"/>
      <c r="L32" s="20"/>
      <c r="M32" s="20"/>
    </row>
    <row r="33" spans="1:13" x14ac:dyDescent="0.25">
      <c r="A33" s="85"/>
      <c r="B33" s="87" t="s">
        <v>286</v>
      </c>
      <c r="C33" s="84"/>
      <c r="D33" s="84"/>
      <c r="E33" s="84"/>
      <c r="F33" s="84"/>
      <c r="G33" s="84"/>
      <c r="H33" s="84"/>
      <c r="I33" s="84"/>
      <c r="J33" s="84"/>
      <c r="K33" s="84"/>
      <c r="L33" s="82"/>
      <c r="M33" s="82"/>
    </row>
    <row r="34" spans="1:13" x14ac:dyDescent="0.25">
      <c r="A34" s="85"/>
      <c r="B34" s="84" t="s">
        <v>409</v>
      </c>
      <c r="C34" s="84"/>
      <c r="D34" s="84"/>
      <c r="E34" s="84"/>
      <c r="F34" s="84"/>
      <c r="G34" s="84"/>
      <c r="H34" s="84"/>
      <c r="I34" s="84"/>
      <c r="J34" s="84"/>
      <c r="K34" s="84"/>
      <c r="L34" s="20"/>
      <c r="M34" s="20"/>
    </row>
    <row r="35" spans="1:13" x14ac:dyDescent="0.25">
      <c r="A35" s="85"/>
      <c r="B35" s="82" t="s">
        <v>406</v>
      </c>
      <c r="C35" s="82"/>
      <c r="D35" s="84">
        <v>2.2000000000000002</v>
      </c>
      <c r="E35" s="5" t="s">
        <v>7</v>
      </c>
      <c r="F35" s="84"/>
      <c r="G35" s="84"/>
      <c r="H35" s="84"/>
      <c r="I35" s="84"/>
      <c r="J35" s="84"/>
      <c r="K35" s="84"/>
      <c r="L35" s="20"/>
      <c r="M35" s="20"/>
    </row>
    <row r="36" spans="1:13" x14ac:dyDescent="0.25">
      <c r="A36" s="85"/>
      <c r="B36" s="88" t="s">
        <v>407</v>
      </c>
      <c r="C36" s="88"/>
      <c r="D36" s="88">
        <v>10</v>
      </c>
      <c r="E36" s="88" t="s">
        <v>40</v>
      </c>
      <c r="F36" s="84"/>
      <c r="G36" s="84"/>
      <c r="H36" s="84"/>
      <c r="I36" s="84"/>
      <c r="J36" s="84"/>
      <c r="K36" s="84"/>
      <c r="L36" s="20"/>
      <c r="M36" s="20"/>
    </row>
    <row r="37" spans="1:13" x14ac:dyDescent="0.25">
      <c r="A37" s="85"/>
      <c r="B37" s="82" t="s">
        <v>408</v>
      </c>
      <c r="C37" s="82"/>
      <c r="D37" s="84">
        <f>D35*D36</f>
        <v>22</v>
      </c>
      <c r="E37" s="84" t="s">
        <v>7</v>
      </c>
      <c r="F37" s="84"/>
      <c r="G37" s="84"/>
      <c r="H37" s="84"/>
      <c r="I37" s="84"/>
      <c r="J37" s="84"/>
      <c r="K37" s="84"/>
      <c r="L37" s="20"/>
      <c r="M37" s="20"/>
    </row>
    <row r="38" spans="1:13" x14ac:dyDescent="0.25">
      <c r="A38" s="85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20"/>
      <c r="M38" s="20"/>
    </row>
    <row r="39" spans="1:13" x14ac:dyDescent="0.25">
      <c r="A39" s="85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20"/>
      <c r="M39" s="20"/>
    </row>
    <row r="40" spans="1:13" x14ac:dyDescent="0.25">
      <c r="A40" s="85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20"/>
      <c r="M40" s="20"/>
    </row>
    <row r="41" spans="1:13" x14ac:dyDescent="0.25">
      <c r="A41" s="85" t="s">
        <v>410</v>
      </c>
      <c r="B41" s="89" t="s">
        <v>411</v>
      </c>
      <c r="C41" s="84"/>
      <c r="D41" s="84"/>
      <c r="E41" s="84" t="s">
        <v>523</v>
      </c>
      <c r="F41" s="84"/>
      <c r="G41" s="84"/>
      <c r="H41" s="84"/>
      <c r="I41" s="84"/>
      <c r="J41" s="84"/>
      <c r="K41" s="84"/>
      <c r="L41" s="20"/>
      <c r="M41" s="20"/>
    </row>
    <row r="42" spans="1:13" ht="17.25" customHeight="1" x14ac:dyDescent="0.25">
      <c r="A42" s="85"/>
      <c r="B42" s="82" t="s">
        <v>501</v>
      </c>
      <c r="C42" s="82"/>
      <c r="D42" s="82"/>
      <c r="E42" s="82"/>
      <c r="F42" s="82"/>
      <c r="G42" s="82"/>
      <c r="H42" s="82"/>
      <c r="I42" s="82"/>
      <c r="J42" s="82"/>
      <c r="K42" s="82"/>
      <c r="L42" s="20"/>
      <c r="M42" s="20"/>
    </row>
    <row r="43" spans="1:13" ht="17.25" customHeight="1" x14ac:dyDescent="0.25">
      <c r="A43" s="85"/>
      <c r="B43" s="82" t="s">
        <v>500</v>
      </c>
      <c r="C43" s="82"/>
      <c r="D43" s="82"/>
      <c r="E43" s="82"/>
      <c r="F43" s="82"/>
      <c r="G43" s="82"/>
      <c r="H43" s="82"/>
      <c r="I43" s="82"/>
      <c r="J43" s="82"/>
      <c r="K43" s="82"/>
      <c r="L43" s="20"/>
      <c r="M43" s="20"/>
    </row>
    <row r="44" spans="1:13" x14ac:dyDescent="0.25">
      <c r="A44" s="85"/>
      <c r="B44" s="90" t="s">
        <v>26</v>
      </c>
      <c r="C44" s="82"/>
      <c r="D44" s="82">
        <v>75.2</v>
      </c>
      <c r="E44" s="82" t="s">
        <v>7</v>
      </c>
      <c r="F44" s="82"/>
      <c r="G44" s="84"/>
      <c r="H44" s="84"/>
      <c r="I44" s="84"/>
      <c r="J44" s="84"/>
      <c r="K44" s="84"/>
      <c r="L44" s="20"/>
      <c r="M44" s="20"/>
    </row>
    <row r="45" spans="1:13" x14ac:dyDescent="0.25">
      <c r="A45" s="85"/>
      <c r="B45" s="91" t="s">
        <v>412</v>
      </c>
      <c r="C45" s="88"/>
      <c r="D45" s="92">
        <v>1.1000000000000001</v>
      </c>
      <c r="E45" s="88" t="s">
        <v>7</v>
      </c>
      <c r="F45" s="88"/>
      <c r="G45" s="88"/>
      <c r="H45" s="88"/>
      <c r="I45" s="84"/>
      <c r="J45" s="84"/>
      <c r="K45" s="84"/>
      <c r="L45" s="20"/>
      <c r="M45" s="20"/>
    </row>
    <row r="46" spans="1:13" x14ac:dyDescent="0.25">
      <c r="A46" s="85"/>
      <c r="B46" s="82" t="s">
        <v>59</v>
      </c>
      <c r="C46" s="82"/>
      <c r="D46" s="82"/>
      <c r="E46" s="82"/>
      <c r="F46" s="93">
        <f>D44*D45</f>
        <v>82.720000000000013</v>
      </c>
      <c r="G46" s="84" t="s">
        <v>7</v>
      </c>
      <c r="H46" s="84"/>
      <c r="I46" s="84"/>
      <c r="J46" s="84"/>
      <c r="K46" s="84"/>
      <c r="L46" s="20"/>
      <c r="M46" s="20"/>
    </row>
    <row r="47" spans="1:13" x14ac:dyDescent="0.25">
      <c r="A47" s="73"/>
      <c r="B47" s="81"/>
      <c r="C47" s="80"/>
      <c r="D47" s="80"/>
      <c r="E47" s="80"/>
      <c r="F47" s="80"/>
      <c r="G47" s="80"/>
      <c r="H47" s="80"/>
      <c r="I47" s="80"/>
      <c r="J47" s="80"/>
      <c r="K47" s="80"/>
      <c r="L47" s="20"/>
      <c r="M47" s="20"/>
    </row>
    <row r="48" spans="1:13" x14ac:dyDescent="0.25">
      <c r="A48" s="85" t="s">
        <v>413</v>
      </c>
      <c r="B48" s="82" t="s">
        <v>503</v>
      </c>
      <c r="C48" s="82"/>
      <c r="D48" s="82"/>
      <c r="E48" s="82"/>
      <c r="F48" s="82"/>
      <c r="G48" s="96" t="s">
        <v>525</v>
      </c>
      <c r="H48" s="84"/>
      <c r="I48" s="80"/>
      <c r="J48" s="80"/>
      <c r="K48" s="80"/>
      <c r="L48" s="20"/>
      <c r="M48" s="20"/>
    </row>
    <row r="49" spans="1:13" x14ac:dyDescent="0.25">
      <c r="A49" s="85"/>
      <c r="B49" s="82" t="s">
        <v>408</v>
      </c>
      <c r="C49" s="82"/>
      <c r="D49" s="82" t="s">
        <v>502</v>
      </c>
      <c r="E49" s="82"/>
      <c r="F49" s="82">
        <f>31.5+41</f>
        <v>72.5</v>
      </c>
      <c r="G49" s="82" t="s">
        <v>7</v>
      </c>
      <c r="H49" s="84"/>
      <c r="I49" s="84"/>
      <c r="J49" s="84"/>
      <c r="K49" s="80"/>
      <c r="L49" s="20"/>
      <c r="M49" s="20"/>
    </row>
    <row r="50" spans="1:13" x14ac:dyDescent="0.25">
      <c r="A50" s="85"/>
      <c r="B50" s="94" t="s">
        <v>505</v>
      </c>
      <c r="C50" s="84"/>
      <c r="D50" s="84"/>
      <c r="E50" s="84"/>
      <c r="F50" s="84"/>
      <c r="G50" s="84"/>
      <c r="H50" s="84"/>
      <c r="I50" s="84"/>
      <c r="J50" s="84"/>
      <c r="K50" s="80"/>
      <c r="L50" s="20"/>
      <c r="M50" s="20"/>
    </row>
    <row r="51" spans="1:13" x14ac:dyDescent="0.25">
      <c r="A51" s="85"/>
      <c r="B51" s="82" t="s">
        <v>414</v>
      </c>
      <c r="C51" s="82"/>
      <c r="D51" s="82"/>
      <c r="E51" s="82"/>
      <c r="F51" s="82"/>
      <c r="G51" s="82">
        <v>72.5</v>
      </c>
      <c r="H51" s="82" t="s">
        <v>7</v>
      </c>
      <c r="I51" s="82"/>
      <c r="J51" s="82"/>
      <c r="K51" s="80"/>
      <c r="L51" s="20"/>
      <c r="M51" s="20"/>
    </row>
    <row r="52" spans="1:13" x14ac:dyDescent="0.25">
      <c r="A52" s="73"/>
      <c r="B52" s="82" t="s">
        <v>415</v>
      </c>
      <c r="C52" s="82"/>
      <c r="D52" s="82"/>
      <c r="E52" s="82"/>
      <c r="F52" s="82"/>
      <c r="G52" s="82">
        <v>80</v>
      </c>
      <c r="H52" s="82" t="s">
        <v>40</v>
      </c>
      <c r="I52" s="82">
        <f>G52*1.1</f>
        <v>88</v>
      </c>
      <c r="J52" s="82" t="s">
        <v>7</v>
      </c>
      <c r="K52" s="80"/>
      <c r="L52" s="20"/>
      <c r="M52" s="20"/>
    </row>
    <row r="53" spans="1:13" x14ac:dyDescent="0.25">
      <c r="B53" s="82" t="s">
        <v>416</v>
      </c>
      <c r="C53" s="82"/>
      <c r="D53" s="82"/>
      <c r="E53" s="82"/>
      <c r="F53" s="82"/>
      <c r="G53" s="82"/>
      <c r="H53" s="82"/>
      <c r="I53" s="82"/>
      <c r="J53" s="82"/>
      <c r="K53" s="80"/>
      <c r="L53" s="20"/>
      <c r="M53" s="20"/>
    </row>
    <row r="54" spans="1:13" x14ac:dyDescent="0.25">
      <c r="A54" s="73"/>
      <c r="B54" s="82" t="s">
        <v>504</v>
      </c>
      <c r="C54" s="82"/>
      <c r="D54" s="82"/>
      <c r="E54" s="82"/>
      <c r="F54" s="82"/>
      <c r="G54" s="82">
        <f>G51</f>
        <v>72.5</v>
      </c>
      <c r="H54" s="82" t="s">
        <v>7</v>
      </c>
      <c r="I54" s="82"/>
      <c r="J54" s="82"/>
      <c r="K54" s="80"/>
      <c r="L54" s="20"/>
      <c r="M54" s="20"/>
    </row>
    <row r="55" spans="1:13" x14ac:dyDescent="0.25">
      <c r="A55" s="73"/>
      <c r="B55" s="82" t="s">
        <v>417</v>
      </c>
      <c r="C55" s="82"/>
      <c r="D55" s="82"/>
      <c r="E55" s="82"/>
      <c r="F55" s="82"/>
      <c r="G55" s="82">
        <v>395</v>
      </c>
      <c r="H55" s="82" t="s">
        <v>40</v>
      </c>
      <c r="I55" s="82">
        <f>G55*0.88</f>
        <v>347.6</v>
      </c>
      <c r="J55" s="82" t="s">
        <v>7</v>
      </c>
      <c r="K55" s="80"/>
      <c r="L55" s="20"/>
      <c r="M55" s="20"/>
    </row>
    <row r="56" spans="1:13" x14ac:dyDescent="0.25">
      <c r="A56" s="73"/>
      <c r="B56" s="82" t="s">
        <v>506</v>
      </c>
      <c r="C56" s="82"/>
      <c r="D56" s="82"/>
      <c r="E56" s="82"/>
      <c r="F56" s="82">
        <v>80</v>
      </c>
      <c r="G56" s="82" t="s">
        <v>40</v>
      </c>
      <c r="H56" s="82"/>
      <c r="I56" s="82">
        <f>F56*0.13*7.85</f>
        <v>81.64</v>
      </c>
      <c r="J56" s="82" t="s">
        <v>63</v>
      </c>
      <c r="K56" s="80"/>
      <c r="L56" s="20"/>
      <c r="M56" s="20"/>
    </row>
    <row r="57" spans="1:13" x14ac:dyDescent="0.25">
      <c r="A57" s="73"/>
      <c r="B57" s="82" t="s">
        <v>507</v>
      </c>
      <c r="C57" s="82"/>
      <c r="D57" s="82"/>
      <c r="E57" s="82" t="s">
        <v>508</v>
      </c>
      <c r="F57" s="82">
        <v>80</v>
      </c>
      <c r="G57" s="82" t="s">
        <v>40</v>
      </c>
      <c r="H57" s="82"/>
      <c r="I57" s="82">
        <f>F57*0.3*2.73</f>
        <v>65.52</v>
      </c>
      <c r="J57" s="82" t="s">
        <v>63</v>
      </c>
      <c r="K57" s="80"/>
      <c r="L57" s="20"/>
      <c r="M57" s="20"/>
    </row>
    <row r="58" spans="1:13" x14ac:dyDescent="0.25">
      <c r="A58" s="73"/>
      <c r="B58" s="82" t="s">
        <v>418</v>
      </c>
      <c r="C58" s="82"/>
      <c r="D58" s="82"/>
      <c r="E58" s="82"/>
      <c r="F58" s="82"/>
      <c r="G58" s="82"/>
      <c r="H58" s="82"/>
      <c r="I58" s="82"/>
      <c r="J58" s="82"/>
      <c r="K58" s="80"/>
      <c r="L58" s="20"/>
      <c r="M58" s="20"/>
    </row>
    <row r="59" spans="1:13" x14ac:dyDescent="0.25">
      <c r="A59" s="73"/>
      <c r="B59" s="84"/>
      <c r="C59" s="84"/>
      <c r="D59" s="84"/>
      <c r="E59" s="84"/>
      <c r="F59" s="84"/>
      <c r="G59" s="84"/>
      <c r="H59" s="84"/>
      <c r="I59" s="84"/>
      <c r="J59" s="84"/>
      <c r="K59" s="80"/>
      <c r="L59" s="20"/>
      <c r="M59" s="20"/>
    </row>
    <row r="60" spans="1:13" x14ac:dyDescent="0.25">
      <c r="A60" s="73" t="s">
        <v>420</v>
      </c>
      <c r="B60" s="82" t="s">
        <v>419</v>
      </c>
      <c r="C60" s="82"/>
      <c r="D60" s="82"/>
      <c r="E60" s="96" t="s">
        <v>524</v>
      </c>
      <c r="F60" s="82"/>
      <c r="G60" s="82">
        <v>75.2</v>
      </c>
      <c r="H60" s="82" t="s">
        <v>7</v>
      </c>
      <c r="I60" s="82"/>
      <c r="J60" s="82"/>
      <c r="K60" s="80"/>
      <c r="L60" s="20"/>
      <c r="M60" s="20"/>
    </row>
    <row r="61" spans="1:13" x14ac:dyDescent="0.25">
      <c r="A61" s="73"/>
      <c r="B61" s="82"/>
      <c r="C61" s="82"/>
      <c r="D61" s="82"/>
      <c r="E61" s="82"/>
      <c r="F61" s="82"/>
      <c r="G61" s="88">
        <v>2.1</v>
      </c>
      <c r="H61" s="88" t="s">
        <v>7</v>
      </c>
      <c r="I61" s="82"/>
      <c r="J61" s="82"/>
      <c r="K61" s="80"/>
      <c r="L61" s="20"/>
      <c r="M61" s="20"/>
    </row>
    <row r="62" spans="1:13" x14ac:dyDescent="0.25">
      <c r="A62" s="73"/>
      <c r="B62" s="96" t="s">
        <v>509</v>
      </c>
      <c r="C62" s="96"/>
      <c r="D62" s="96"/>
      <c r="E62" s="96"/>
      <c r="F62" s="96"/>
      <c r="G62" s="96">
        <f>G60*G61</f>
        <v>157.92000000000002</v>
      </c>
      <c r="H62" s="96" t="s">
        <v>23</v>
      </c>
      <c r="I62" s="82"/>
      <c r="J62" s="82"/>
      <c r="K62" s="80"/>
      <c r="L62" s="20"/>
      <c r="M62" s="20"/>
    </row>
    <row r="63" spans="1:13" x14ac:dyDescent="0.25">
      <c r="A63" s="73"/>
      <c r="B63" s="95" t="s">
        <v>421</v>
      </c>
      <c r="C63" s="84"/>
      <c r="D63" s="84"/>
      <c r="E63" s="84"/>
      <c r="F63" s="84"/>
      <c r="G63" s="84"/>
      <c r="H63" s="84"/>
      <c r="I63" s="82"/>
      <c r="J63" s="82"/>
      <c r="K63" s="80"/>
      <c r="L63" s="20"/>
      <c r="M63" s="20"/>
    </row>
    <row r="64" spans="1:13" x14ac:dyDescent="0.25">
      <c r="A64" s="73"/>
      <c r="B64" s="95" t="s">
        <v>766</v>
      </c>
      <c r="C64" s="84"/>
      <c r="D64" s="84"/>
      <c r="E64" s="84"/>
      <c r="F64" s="84" t="s">
        <v>220</v>
      </c>
      <c r="G64" s="84" t="s">
        <v>510</v>
      </c>
      <c r="H64" s="84">
        <f>4*2.5*2.1</f>
        <v>21</v>
      </c>
      <c r="I64" s="82" t="s">
        <v>23</v>
      </c>
      <c r="J64" s="82"/>
      <c r="K64" s="80"/>
      <c r="L64" s="20"/>
      <c r="M64" s="20"/>
    </row>
    <row r="65" spans="1:13" x14ac:dyDescent="0.25">
      <c r="A65" s="73"/>
      <c r="B65" s="95" t="s">
        <v>511</v>
      </c>
      <c r="C65" s="84"/>
      <c r="D65" s="84"/>
      <c r="E65" s="84"/>
      <c r="F65" s="84"/>
      <c r="G65" s="84"/>
      <c r="H65" s="84"/>
      <c r="I65" s="82"/>
      <c r="J65" s="82"/>
      <c r="K65" s="80"/>
      <c r="L65" s="20"/>
      <c r="M65" s="20"/>
    </row>
    <row r="66" spans="1:13" x14ac:dyDescent="0.25">
      <c r="A66" s="73"/>
      <c r="B66" s="95" t="s">
        <v>512</v>
      </c>
      <c r="C66" s="84"/>
      <c r="D66" s="84"/>
      <c r="E66" s="84"/>
      <c r="F66" s="84"/>
      <c r="G66" s="84"/>
      <c r="H66" s="84"/>
      <c r="I66" s="82"/>
      <c r="J66" s="82"/>
      <c r="K66" s="80"/>
      <c r="L66" s="20"/>
      <c r="M66" s="20"/>
    </row>
    <row r="67" spans="1:13" x14ac:dyDescent="0.25">
      <c r="A67" s="73"/>
      <c r="B67" s="95" t="s">
        <v>514</v>
      </c>
      <c r="C67" s="84"/>
      <c r="D67" s="5"/>
      <c r="E67" s="5"/>
      <c r="F67" s="84"/>
      <c r="G67" s="98">
        <f>G62*0.4</f>
        <v>63.168000000000006</v>
      </c>
      <c r="H67" s="84" t="s">
        <v>24</v>
      </c>
      <c r="I67" s="84"/>
      <c r="J67" s="82"/>
      <c r="K67" s="75"/>
      <c r="L67" s="20"/>
      <c r="M67" s="20"/>
    </row>
    <row r="68" spans="1:13" x14ac:dyDescent="0.25">
      <c r="A68" s="73"/>
      <c r="B68" s="5" t="s">
        <v>513</v>
      </c>
      <c r="C68" s="84"/>
      <c r="D68" s="84"/>
      <c r="E68" s="84"/>
      <c r="F68" s="84"/>
      <c r="G68" s="84"/>
      <c r="H68" s="84"/>
      <c r="I68" s="82"/>
      <c r="J68" s="75"/>
      <c r="K68" s="80"/>
      <c r="L68" s="20"/>
      <c r="M68" s="20"/>
    </row>
    <row r="69" spans="1:13" x14ac:dyDescent="0.25">
      <c r="A69" s="73"/>
      <c r="B69" s="97"/>
      <c r="C69" s="80"/>
      <c r="D69" s="80"/>
      <c r="E69" s="80"/>
      <c r="F69" s="80"/>
      <c r="G69" s="80"/>
      <c r="H69" s="80"/>
      <c r="I69" s="75"/>
      <c r="J69" s="75"/>
      <c r="K69" s="80"/>
      <c r="L69" s="20"/>
      <c r="M69" s="20"/>
    </row>
    <row r="70" spans="1:13" x14ac:dyDescent="0.25">
      <c r="A70" s="101" t="s">
        <v>422</v>
      </c>
      <c r="B70" s="96" t="s">
        <v>519</v>
      </c>
      <c r="C70" s="102"/>
      <c r="D70" s="102"/>
      <c r="E70" s="84"/>
      <c r="F70" s="84"/>
      <c r="G70" s="84"/>
      <c r="H70" s="84"/>
      <c r="I70" s="84"/>
      <c r="J70" s="84"/>
      <c r="K70" s="84"/>
      <c r="L70" s="20"/>
      <c r="M70" s="20"/>
    </row>
    <row r="71" spans="1:13" x14ac:dyDescent="0.25">
      <c r="A71" s="85"/>
      <c r="B71" s="103" t="s">
        <v>516</v>
      </c>
      <c r="C71" s="84"/>
      <c r="D71" s="84"/>
      <c r="E71" s="84"/>
      <c r="F71" s="84"/>
      <c r="G71" s="84"/>
      <c r="H71" s="84"/>
      <c r="I71" s="84"/>
      <c r="J71" s="84"/>
      <c r="K71" s="84"/>
      <c r="L71" s="20"/>
      <c r="M71" s="20"/>
    </row>
    <row r="72" spans="1:13" x14ac:dyDescent="0.25">
      <c r="A72" s="85"/>
      <c r="B72" s="103" t="s">
        <v>517</v>
      </c>
      <c r="C72" s="84"/>
      <c r="D72" s="84"/>
      <c r="E72" s="84"/>
      <c r="F72" s="84"/>
      <c r="G72" s="84"/>
      <c r="H72" s="84"/>
      <c r="I72" s="84"/>
      <c r="J72" s="84"/>
      <c r="K72" s="84"/>
      <c r="L72" s="20"/>
      <c r="M72" s="20"/>
    </row>
    <row r="73" spans="1:13" x14ac:dyDescent="0.25">
      <c r="A73" s="85"/>
      <c r="B73" s="104" t="s">
        <v>541</v>
      </c>
      <c r="C73" s="105"/>
      <c r="D73" s="82"/>
      <c r="E73" s="82"/>
      <c r="F73" s="82"/>
      <c r="G73" s="82"/>
      <c r="H73" s="82"/>
      <c r="I73" s="82"/>
      <c r="J73" s="82"/>
      <c r="K73" s="82"/>
    </row>
    <row r="74" spans="1:13" x14ac:dyDescent="0.25">
      <c r="A74" s="85"/>
      <c r="B74" s="84" t="s">
        <v>518</v>
      </c>
      <c r="C74" s="84"/>
      <c r="D74" s="82"/>
      <c r="E74" s="82"/>
      <c r="F74" s="82"/>
      <c r="G74" s="82"/>
      <c r="H74" s="82"/>
      <c r="I74" s="82"/>
      <c r="J74" s="82"/>
      <c r="K74" s="82"/>
    </row>
    <row r="75" spans="1:13" ht="15" customHeight="1" x14ac:dyDescent="0.25">
      <c r="A75" s="85"/>
      <c r="B75" s="106" t="s">
        <v>287</v>
      </c>
      <c r="C75" s="104"/>
      <c r="D75" s="106"/>
      <c r="E75" s="104"/>
      <c r="F75" s="106"/>
      <c r="G75" s="82"/>
      <c r="H75" s="82"/>
      <c r="I75" s="82">
        <v>1</v>
      </c>
      <c r="J75" s="82" t="s">
        <v>40</v>
      </c>
    </row>
    <row r="76" spans="1:13" ht="15" customHeight="1" x14ac:dyDescent="0.25">
      <c r="A76" s="85"/>
      <c r="B76" s="106"/>
      <c r="C76" s="104"/>
      <c r="D76" s="106"/>
      <c r="E76" s="104"/>
      <c r="F76" s="106"/>
      <c r="G76" s="82"/>
      <c r="H76" s="82"/>
      <c r="I76" s="82"/>
      <c r="J76" s="82"/>
      <c r="K76" s="82"/>
    </row>
    <row r="77" spans="1:13" x14ac:dyDescent="0.25">
      <c r="A77" s="85" t="s">
        <v>423</v>
      </c>
      <c r="B77" s="84" t="s">
        <v>521</v>
      </c>
      <c r="C77" s="84"/>
      <c r="D77" s="82"/>
      <c r="E77" s="82"/>
      <c r="F77" s="82"/>
      <c r="G77" s="82"/>
      <c r="H77" s="82"/>
      <c r="I77" s="96" t="s">
        <v>520</v>
      </c>
      <c r="J77" s="75"/>
      <c r="K77" s="75"/>
    </row>
    <row r="78" spans="1:13" x14ac:dyDescent="0.25">
      <c r="A78" s="85"/>
      <c r="B78" s="84" t="s">
        <v>189</v>
      </c>
      <c r="C78" s="84">
        <v>67</v>
      </c>
      <c r="D78" s="82" t="s">
        <v>7</v>
      </c>
      <c r="E78" s="82"/>
      <c r="F78" s="82"/>
      <c r="G78" s="82"/>
      <c r="H78" s="82"/>
      <c r="I78" s="82"/>
      <c r="J78" s="75"/>
      <c r="K78" s="75"/>
    </row>
    <row r="79" spans="1:13" x14ac:dyDescent="0.25">
      <c r="A79" s="85"/>
      <c r="B79" s="88" t="s">
        <v>86</v>
      </c>
      <c r="C79" s="88">
        <v>36</v>
      </c>
      <c r="D79" s="88" t="s">
        <v>7</v>
      </c>
      <c r="E79" s="88"/>
      <c r="F79" s="88"/>
      <c r="G79" s="82"/>
      <c r="H79" s="82"/>
      <c r="I79" s="82"/>
      <c r="J79" s="75"/>
      <c r="K79" s="75"/>
    </row>
    <row r="80" spans="1:13" x14ac:dyDescent="0.25">
      <c r="A80" s="85"/>
      <c r="B80" s="84" t="s">
        <v>59</v>
      </c>
      <c r="C80" s="84">
        <f>SUM(C78:C79)</f>
        <v>103</v>
      </c>
      <c r="D80" s="82" t="s">
        <v>7</v>
      </c>
      <c r="E80" s="82"/>
      <c r="F80" s="82"/>
      <c r="G80" s="82"/>
      <c r="H80" s="82"/>
      <c r="I80" s="82"/>
      <c r="J80" s="75"/>
      <c r="K80" s="75"/>
    </row>
    <row r="81" spans="1:12" x14ac:dyDescent="0.25">
      <c r="A81" s="85"/>
      <c r="B81" s="84"/>
      <c r="C81" s="84"/>
      <c r="D81" s="82"/>
      <c r="E81" s="82"/>
      <c r="F81" s="82"/>
      <c r="G81" s="82"/>
      <c r="H81" s="82"/>
      <c r="I81" s="82"/>
      <c r="J81" s="75"/>
      <c r="K81" s="75"/>
    </row>
    <row r="82" spans="1:12" x14ac:dyDescent="0.25">
      <c r="A82" s="44" t="s">
        <v>487</v>
      </c>
      <c r="B82" s="95" t="s">
        <v>527</v>
      </c>
      <c r="C82" s="84"/>
      <c r="D82" s="84"/>
      <c r="E82" s="84"/>
      <c r="F82" s="84"/>
      <c r="G82" s="84"/>
      <c r="H82" s="84"/>
      <c r="I82" s="102" t="s">
        <v>546</v>
      </c>
      <c r="J82" s="80"/>
      <c r="K82" s="80"/>
      <c r="L82" s="20"/>
    </row>
    <row r="83" spans="1:12" x14ac:dyDescent="0.25">
      <c r="A83" s="44"/>
      <c r="B83" s="95"/>
      <c r="C83" s="84"/>
      <c r="D83" s="84" t="s">
        <v>530</v>
      </c>
      <c r="G83" s="84"/>
      <c r="H83" s="84"/>
      <c r="I83" s="80"/>
      <c r="J83" s="80"/>
      <c r="K83" s="80"/>
      <c r="L83" s="20"/>
    </row>
    <row r="84" spans="1:12" x14ac:dyDescent="0.25">
      <c r="A84" s="44"/>
      <c r="B84" s="84" t="s">
        <v>528</v>
      </c>
      <c r="C84" s="84"/>
      <c r="D84" s="84">
        <v>5</v>
      </c>
      <c r="E84" s="84">
        <v>8.6999999999999993</v>
      </c>
      <c r="F84" s="84" t="s">
        <v>23</v>
      </c>
      <c r="G84" s="84"/>
      <c r="H84" s="84"/>
      <c r="I84" s="80"/>
      <c r="J84" s="80"/>
      <c r="K84" s="80"/>
      <c r="L84" s="20"/>
    </row>
    <row r="85" spans="1:12" x14ac:dyDescent="0.25">
      <c r="A85" s="44"/>
      <c r="B85" s="88" t="s">
        <v>529</v>
      </c>
      <c r="C85" s="88"/>
      <c r="D85" s="88">
        <v>5</v>
      </c>
      <c r="E85" s="88">
        <v>8.3000000000000007</v>
      </c>
      <c r="F85" s="88" t="s">
        <v>23</v>
      </c>
      <c r="G85" s="84"/>
      <c r="H85" s="84"/>
      <c r="I85" s="80"/>
      <c r="J85" s="80"/>
      <c r="K85" s="80"/>
      <c r="L85" s="20"/>
    </row>
    <row r="86" spans="1:12" x14ac:dyDescent="0.25">
      <c r="A86" s="44"/>
      <c r="B86" s="84" t="s">
        <v>531</v>
      </c>
      <c r="C86" s="84"/>
      <c r="D86" s="84" t="s">
        <v>532</v>
      </c>
      <c r="E86" s="84"/>
      <c r="F86" s="84">
        <f>(8.8+8.3)*5</f>
        <v>85.5</v>
      </c>
      <c r="G86" s="84" t="s">
        <v>23</v>
      </c>
      <c r="H86" s="84"/>
      <c r="I86" s="80"/>
      <c r="J86" s="80"/>
      <c r="K86" s="80"/>
      <c r="L86" s="20"/>
    </row>
    <row r="87" spans="1:12" x14ac:dyDescent="0.25">
      <c r="A87" s="44"/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20"/>
    </row>
    <row r="88" spans="1:12" x14ac:dyDescent="0.25">
      <c r="A88" s="83" t="s">
        <v>487</v>
      </c>
      <c r="B88" s="107" t="s">
        <v>533</v>
      </c>
      <c r="C88" s="84"/>
      <c r="D88" s="84"/>
      <c r="E88" s="5"/>
      <c r="F88" s="5"/>
      <c r="G88" s="84"/>
      <c r="H88" s="84"/>
      <c r="I88" s="102" t="s">
        <v>538</v>
      </c>
      <c r="J88" s="84"/>
      <c r="K88" s="80"/>
      <c r="L88" s="20"/>
    </row>
    <row r="89" spans="1:12" x14ac:dyDescent="0.25">
      <c r="A89" s="83"/>
      <c r="B89" s="107" t="s">
        <v>534</v>
      </c>
      <c r="C89" s="84"/>
      <c r="D89" s="84"/>
      <c r="E89" s="5"/>
      <c r="F89" s="5"/>
      <c r="G89" s="84"/>
      <c r="H89" s="84"/>
      <c r="I89" s="84"/>
      <c r="J89" s="84"/>
      <c r="K89" s="80"/>
      <c r="L89" s="20"/>
    </row>
    <row r="90" spans="1:12" x14ac:dyDescent="0.25">
      <c r="A90" s="85"/>
      <c r="B90" s="95"/>
      <c r="C90" s="84"/>
      <c r="D90" s="84" t="s">
        <v>530</v>
      </c>
      <c r="E90" s="5"/>
      <c r="F90" s="5"/>
      <c r="G90" s="84"/>
      <c r="H90" s="84"/>
      <c r="I90" s="82"/>
      <c r="J90" s="82"/>
      <c r="K90" s="75"/>
    </row>
    <row r="91" spans="1:12" x14ac:dyDescent="0.25">
      <c r="A91" s="99"/>
      <c r="B91" s="84" t="s">
        <v>535</v>
      </c>
      <c r="C91" s="84"/>
      <c r="D91" s="84">
        <v>5</v>
      </c>
      <c r="E91" s="84">
        <v>4.5999999999999996</v>
      </c>
      <c r="F91" s="84" t="s">
        <v>23</v>
      </c>
      <c r="G91" s="84"/>
      <c r="H91" s="84"/>
      <c r="I91" s="82"/>
      <c r="J91" s="82"/>
      <c r="K91" s="75"/>
    </row>
    <row r="92" spans="1:12" x14ac:dyDescent="0.25">
      <c r="A92" s="99"/>
      <c r="B92" s="88" t="s">
        <v>536</v>
      </c>
      <c r="C92" s="88"/>
      <c r="D92" s="88">
        <v>5</v>
      </c>
      <c r="E92" s="88">
        <v>3.6</v>
      </c>
      <c r="F92" s="88" t="s">
        <v>23</v>
      </c>
      <c r="G92" s="84"/>
      <c r="H92" s="84"/>
      <c r="I92" s="82"/>
      <c r="J92" s="82"/>
      <c r="K92" s="75"/>
    </row>
    <row r="93" spans="1:12" x14ac:dyDescent="0.25">
      <c r="A93" s="5"/>
      <c r="B93" s="84" t="s">
        <v>531</v>
      </c>
      <c r="C93" s="84"/>
      <c r="D93" s="84" t="s">
        <v>537</v>
      </c>
      <c r="E93" s="84"/>
      <c r="F93" s="84">
        <f>(4.6+3.6)*5</f>
        <v>41</v>
      </c>
      <c r="G93" s="84" t="s">
        <v>23</v>
      </c>
      <c r="H93" s="82"/>
      <c r="I93" s="82"/>
      <c r="J93" s="82"/>
      <c r="K93" s="75"/>
    </row>
    <row r="94" spans="1:12" x14ac:dyDescent="0.25">
      <c r="A94" s="5"/>
      <c r="B94" s="84"/>
      <c r="C94" s="84"/>
      <c r="D94" s="84"/>
      <c r="E94" s="84"/>
      <c r="F94" s="84"/>
      <c r="G94" s="84"/>
      <c r="H94" s="82"/>
      <c r="I94" s="82"/>
      <c r="J94" s="82"/>
      <c r="K94" s="75"/>
    </row>
    <row r="95" spans="1:12" x14ac:dyDescent="0.25">
      <c r="A95" s="83" t="s">
        <v>489</v>
      </c>
      <c r="B95" s="100" t="s">
        <v>488</v>
      </c>
      <c r="C95" s="84"/>
      <c r="D95" s="84"/>
      <c r="E95" s="84"/>
      <c r="F95" s="84"/>
      <c r="G95" s="82"/>
      <c r="H95" s="82"/>
      <c r="I95" s="102" t="s">
        <v>539</v>
      </c>
      <c r="J95" s="82"/>
      <c r="K95" s="75"/>
    </row>
    <row r="96" spans="1:12" x14ac:dyDescent="0.25">
      <c r="A96" s="83"/>
      <c r="B96" s="84" t="s">
        <v>492</v>
      </c>
      <c r="C96" s="84"/>
      <c r="D96" s="84"/>
      <c r="E96" s="84">
        <f>2*76+0.7</f>
        <v>152.69999999999999</v>
      </c>
      <c r="F96" s="84" t="s">
        <v>7</v>
      </c>
      <c r="G96" s="82"/>
      <c r="H96" s="82"/>
      <c r="I96" s="82"/>
      <c r="J96" s="82"/>
      <c r="K96" s="75"/>
    </row>
    <row r="97" spans="1:11" x14ac:dyDescent="0.25">
      <c r="A97" s="21"/>
      <c r="B97" s="84" t="s">
        <v>515</v>
      </c>
      <c r="C97" s="84"/>
      <c r="D97" s="84"/>
      <c r="E97" s="84"/>
      <c r="F97" s="84"/>
      <c r="G97" s="84"/>
      <c r="H97" s="82"/>
      <c r="I97" s="82"/>
      <c r="J97" s="82"/>
      <c r="K97" s="75"/>
    </row>
    <row r="98" spans="1:11" x14ac:dyDescent="0.25">
      <c r="A98" s="83" t="s">
        <v>490</v>
      </c>
      <c r="B98" s="84" t="s">
        <v>491</v>
      </c>
      <c r="C98" s="84"/>
      <c r="D98" s="84"/>
      <c r="E98" s="84"/>
      <c r="F98" s="84"/>
      <c r="G98" s="80"/>
      <c r="H98" s="75"/>
      <c r="I98" s="102" t="s">
        <v>540</v>
      </c>
      <c r="J98" s="75"/>
      <c r="K98" s="75"/>
    </row>
    <row r="99" spans="1:11" x14ac:dyDescent="0.25">
      <c r="A99" s="99"/>
      <c r="B99" s="84" t="s">
        <v>492</v>
      </c>
      <c r="C99" s="84"/>
      <c r="D99" s="84"/>
      <c r="E99" s="84">
        <f>2*76+0.7</f>
        <v>152.69999999999999</v>
      </c>
      <c r="F99" s="84" t="s">
        <v>7</v>
      </c>
      <c r="G99" s="80"/>
      <c r="H99" s="75"/>
      <c r="I99" s="75"/>
      <c r="J99" s="75"/>
      <c r="K99" s="75"/>
    </row>
    <row r="100" spans="1:11" x14ac:dyDescent="0.25">
      <c r="A100" s="99"/>
      <c r="B100" s="84" t="s">
        <v>515</v>
      </c>
      <c r="C100" s="84"/>
      <c r="D100" s="84"/>
      <c r="E100" s="84"/>
      <c r="F100" s="84"/>
      <c r="G100" s="80"/>
      <c r="H100" s="75"/>
      <c r="I100" s="75"/>
      <c r="J100" s="75"/>
      <c r="K100" s="75"/>
    </row>
    <row r="101" spans="1:11" x14ac:dyDescent="0.25">
      <c r="A101" s="99"/>
      <c r="B101" s="84"/>
      <c r="C101" s="11"/>
      <c r="D101" s="11"/>
      <c r="E101" s="11"/>
      <c r="F101" s="11"/>
      <c r="G101" s="20"/>
    </row>
    <row r="102" spans="1:11" x14ac:dyDescent="0.25">
      <c r="A102" s="99"/>
      <c r="B102" s="109" t="s">
        <v>547</v>
      </c>
      <c r="C102" s="11"/>
      <c r="D102" s="11"/>
      <c r="E102" s="11"/>
      <c r="F102" s="11"/>
      <c r="G102" s="20"/>
    </row>
    <row r="103" spans="1:11" x14ac:dyDescent="0.25">
      <c r="A103" s="99"/>
      <c r="B103" s="50" t="s">
        <v>548</v>
      </c>
      <c r="C103" s="11"/>
      <c r="D103" s="11"/>
      <c r="E103" s="11"/>
      <c r="F103" s="11"/>
      <c r="G103" s="9" t="s">
        <v>558</v>
      </c>
    </row>
    <row r="104" spans="1:11" x14ac:dyDescent="0.25">
      <c r="A104" s="99"/>
      <c r="B104" s="50" t="s">
        <v>549</v>
      </c>
      <c r="C104" s="11"/>
      <c r="D104" s="11"/>
      <c r="E104" s="11"/>
      <c r="F104" s="11"/>
      <c r="G104" s="20"/>
    </row>
    <row r="105" spans="1:11" x14ac:dyDescent="0.25">
      <c r="A105" s="99"/>
      <c r="B105" s="109" t="s">
        <v>553</v>
      </c>
      <c r="C105" s="11"/>
      <c r="D105" s="11"/>
      <c r="E105" s="11"/>
      <c r="F105" s="11"/>
      <c r="G105" s="20"/>
    </row>
    <row r="106" spans="1:11" x14ac:dyDescent="0.25">
      <c r="A106" s="99"/>
      <c r="B106" s="109"/>
      <c r="C106" s="11" t="s">
        <v>551</v>
      </c>
      <c r="D106" s="11" t="s">
        <v>26</v>
      </c>
      <c r="E106" s="11" t="s">
        <v>552</v>
      </c>
      <c r="F106" s="11"/>
      <c r="G106" s="20"/>
    </row>
    <row r="107" spans="1:11" x14ac:dyDescent="0.25">
      <c r="A107" s="99"/>
      <c r="C107" s="11" t="s">
        <v>7</v>
      </c>
      <c r="D107" s="11" t="s">
        <v>7</v>
      </c>
      <c r="E107" s="11" t="s">
        <v>23</v>
      </c>
      <c r="F107" s="11"/>
      <c r="G107" s="20"/>
    </row>
    <row r="108" spans="1:11" x14ac:dyDescent="0.25">
      <c r="A108" s="99"/>
      <c r="B108" s="50" t="s">
        <v>550</v>
      </c>
      <c r="C108" s="11">
        <v>3.9</v>
      </c>
      <c r="D108" s="11">
        <v>41.5</v>
      </c>
      <c r="E108" s="117">
        <f>C108*D108</f>
        <v>161.85</v>
      </c>
      <c r="F108" s="11"/>
      <c r="G108" s="20"/>
    </row>
    <row r="109" spans="1:11" x14ac:dyDescent="0.25">
      <c r="A109" s="99"/>
      <c r="B109" s="118" t="s">
        <v>554</v>
      </c>
      <c r="C109" s="119">
        <v>4.5</v>
      </c>
      <c r="D109" s="120">
        <v>34</v>
      </c>
      <c r="E109" s="120">
        <f>C109*D109</f>
        <v>153</v>
      </c>
      <c r="F109" s="120"/>
      <c r="G109" s="20"/>
    </row>
    <row r="110" spans="1:11" x14ac:dyDescent="0.25">
      <c r="A110" s="99"/>
      <c r="B110" s="50" t="s">
        <v>305</v>
      </c>
      <c r="C110" s="11"/>
      <c r="D110" s="11"/>
      <c r="E110" s="117">
        <f>SUM(E108:E109)</f>
        <v>314.85000000000002</v>
      </c>
      <c r="F110" s="11" t="s">
        <v>23</v>
      </c>
      <c r="G110" s="20"/>
    </row>
    <row r="111" spans="1:11" x14ac:dyDescent="0.25">
      <c r="A111" s="99"/>
      <c r="B111" s="50"/>
      <c r="C111" s="11"/>
      <c r="D111" s="11"/>
      <c r="E111" s="117"/>
      <c r="F111" s="11"/>
      <c r="G111" s="20"/>
    </row>
    <row r="112" spans="1:11" x14ac:dyDescent="0.25">
      <c r="A112" s="99"/>
      <c r="B112" s="50" t="s">
        <v>555</v>
      </c>
      <c r="C112" s="11"/>
      <c r="D112" s="11"/>
      <c r="E112" s="11" t="s">
        <v>556</v>
      </c>
      <c r="F112" s="117">
        <f>E110*0.5</f>
        <v>157.42500000000001</v>
      </c>
      <c r="G112" s="20" t="s">
        <v>23</v>
      </c>
    </row>
    <row r="113" spans="1:7" x14ac:dyDescent="0.25">
      <c r="A113" s="99"/>
      <c r="B113" s="50"/>
      <c r="C113" s="11"/>
      <c r="D113" s="11"/>
      <c r="E113" s="11"/>
      <c r="F113" s="11"/>
      <c r="G113" s="20"/>
    </row>
    <row r="114" spans="1:7" x14ac:dyDescent="0.25">
      <c r="B114" s="108" t="s">
        <v>557</v>
      </c>
      <c r="F114" s="4" t="s">
        <v>526</v>
      </c>
    </row>
    <row r="115" spans="1:7" x14ac:dyDescent="0.25">
      <c r="B115" s="109" t="s">
        <v>553</v>
      </c>
      <c r="C115" s="11"/>
      <c r="D115" s="11"/>
      <c r="E115" s="11"/>
      <c r="F115" s="11"/>
    </row>
    <row r="116" spans="1:7" x14ac:dyDescent="0.25">
      <c r="B116" s="109"/>
      <c r="C116" s="11" t="s">
        <v>551</v>
      </c>
      <c r="D116" s="11" t="s">
        <v>26</v>
      </c>
      <c r="E116" s="11" t="s">
        <v>552</v>
      </c>
      <c r="F116" s="11"/>
    </row>
    <row r="117" spans="1:7" x14ac:dyDescent="0.25">
      <c r="C117" s="11" t="s">
        <v>7</v>
      </c>
      <c r="D117" s="11" t="s">
        <v>7</v>
      </c>
      <c r="E117" s="11" t="s">
        <v>23</v>
      </c>
      <c r="F117" s="11"/>
    </row>
    <row r="118" spans="1:7" x14ac:dyDescent="0.25">
      <c r="B118" s="50" t="s">
        <v>550</v>
      </c>
      <c r="C118" s="11">
        <v>3.9</v>
      </c>
      <c r="D118" s="11">
        <v>41.5</v>
      </c>
      <c r="E118" s="117">
        <f>C118*D118</f>
        <v>161.85</v>
      </c>
      <c r="F118" s="11"/>
    </row>
    <row r="119" spans="1:7" x14ac:dyDescent="0.25">
      <c r="B119" s="118" t="s">
        <v>554</v>
      </c>
      <c r="C119" s="119">
        <v>4.5</v>
      </c>
      <c r="D119" s="120">
        <v>34</v>
      </c>
      <c r="E119" s="120">
        <f>C119*D119</f>
        <v>153</v>
      </c>
      <c r="F119" s="120"/>
    </row>
    <row r="120" spans="1:7" x14ac:dyDescent="0.25">
      <c r="B120" s="50" t="s">
        <v>305</v>
      </c>
      <c r="C120" s="11"/>
      <c r="D120" s="11"/>
      <c r="E120" s="117">
        <f>SUM(E118:E119)</f>
        <v>314.85000000000002</v>
      </c>
      <c r="F120" s="11" t="s">
        <v>23</v>
      </c>
    </row>
  </sheetData>
  <pageMargins left="0.70866141732283472" right="0.70866141732283472" top="0.78740157480314965" bottom="0.78740157480314965" header="0.31496062992125984" footer="0.31496062992125984"/>
  <pageSetup paperSize="9" scale="82" orientation="portrait" r:id="rId1"/>
  <headerFooter>
    <oddHeader>&amp;RVýkaz výměr  SO 05</oddHeader>
    <oddFooter>&amp;L&amp;F&amp;C&amp;A]&amp;R&amp;10&amp;P/&amp;N</oddFooter>
  </headerFooter>
  <rowBreaks count="1" manualBreakCount="1">
    <brk id="59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SO_05_Rekapitulace</vt:lpstr>
      <vt:lpstr>SO_05_KL1_zemní práce</vt:lpstr>
      <vt:lpstr>SO05_KL 2_konstrukce</vt:lpstr>
      <vt:lpstr>SO05_KL3_výrobky</vt:lpstr>
      <vt:lpstr>SO_05_Rekapitulace!Názvy_tisku</vt:lpstr>
      <vt:lpstr>'SO_05_KL1_zemní práce'!Oblast_tisku</vt:lpstr>
      <vt:lpstr>SO_05_Rekapitulace!Oblast_tisku</vt:lpstr>
      <vt:lpstr>'SO05_KL 2_konstrukce'!Oblast_tisku</vt:lpstr>
      <vt:lpstr>SO05_KL3_výrobky!Oblast_tisku</vt:lpstr>
    </vt:vector>
  </TitlesOfParts>
  <Company>Pöyry Environment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Foltynova, Lucie</dc:creator>
  <cp:lastModifiedBy>Proschl</cp:lastModifiedBy>
  <cp:lastPrinted>2022-08-25T06:12:05Z</cp:lastPrinted>
  <dcterms:created xsi:type="dcterms:W3CDTF">2016-09-06T06:14:26Z</dcterms:created>
  <dcterms:modified xsi:type="dcterms:W3CDTF">2024-02-13T07:09:38Z</dcterms:modified>
</cp:coreProperties>
</file>